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Documents\GR010RE---Tyrone Mine\Permit Revisions\Permit Rev. 09-1\Application\April 2020 Updated CCP\"/>
    </mc:Choice>
  </mc:AlternateContent>
  <xr:revisionPtr revIDLastSave="0" documentId="8_{A5E106D5-46AD-47F5-9976-C258FB7FBD5C}" xr6:coauthVersionLast="45" xr6:coauthVersionMax="45" xr10:uidLastSave="{00000000-0000-0000-0000-000000000000}"/>
  <workbookProtection workbookAlgorithmName="SHA-512" workbookHashValue="f+oskb5QYPg9BQ/lvRffX+vcabetlgpHRRGjJoQM9CXhB4/SyGJpnWruWe8wqzfFlJvXvJrnifS17p4vbk5uXQ==" workbookSaltValue="VxR9WAcpsBO3XRndm7JBhw==" workbookSpinCount="100000" lockStructure="1"/>
  <bookViews>
    <workbookView xWindow="-110" yWindow="-110" windowWidth="19420" windowHeight="10420" tabRatio="905" activeTab="1" xr2:uid="{00000000-000D-0000-FFFF-FFFF00000000}"/>
  </bookViews>
  <sheets>
    <sheet name="2019 CCP Summary" sheetId="30" r:id="rId1"/>
    <sheet name="2019 CCP Cash Flow" sheetId="20" r:id="rId2"/>
    <sheet name="Short Term ETS Cash Flow 2019" sheetId="24" r:id="rId3"/>
    <sheet name="Short Term ETS Labor 2019" sheetId="22" r:id="rId4"/>
    <sheet name="Long Term ETS Cash Flow 2019" sheetId="25" r:id="rId5"/>
    <sheet name="Salt Disposal Cash Flow 2019" sheetId="23" r:id="rId6"/>
    <sheet name="Water Conveyance Cash Flow 2019" sheetId="27" r:id="rId7"/>
    <sheet name="TTS Cash Flow" sheetId="10" r:id="rId8"/>
    <sheet name="Sludge Disposal Cash Flow 2019" sheetId="5" r:id="rId9"/>
    <sheet name="TTS Capital Cost" sheetId="6" r:id="rId10"/>
    <sheet name="TTS Equipment List Input" sheetId="18" r:id="rId11"/>
    <sheet name="TTS Calculation Summary" sheetId="17" r:id="rId12"/>
    <sheet name="Sheet1" sheetId="32" state="hidden" r:id="rId13"/>
    <sheet name="TTS Analytical Costs" sheetId="9" r:id="rId14"/>
    <sheet name="TTS O&amp;M Input" sheetId="7" r:id="rId15"/>
    <sheet name="TTS Design Calcs" sheetId="14" r:id="rId16"/>
    <sheet name="TTS Labor" sheetId="8" r:id="rId17"/>
    <sheet name="Chino Tyrone Comparison" sheetId="31" state="hidden" r:id="rId18"/>
  </sheets>
  <definedNames>
    <definedName name="_xlnm.Print_Area" localSheetId="1">'2019 CCP Cash Flow'!$A$1:$Y$113</definedName>
    <definedName name="_xlnm.Print_Area" localSheetId="0">'2019 CCP Summary'!$A$1:$B$44</definedName>
    <definedName name="_xlnm.Print_Area" localSheetId="4">'Long Term ETS Cash Flow 2019'!$A$1:$N$117</definedName>
    <definedName name="_xlnm.Print_Area" localSheetId="5">'Salt Disposal Cash Flow 2019'!$A$1:$H$116</definedName>
    <definedName name="_xlnm.Print_Area" localSheetId="2">'Short Term ETS Cash Flow 2019'!$A$1:$I$115</definedName>
    <definedName name="_xlnm.Print_Area" localSheetId="3">'Short Term ETS Labor 2019'!$A$1:$F$35</definedName>
    <definedName name="_xlnm.Print_Area" localSheetId="8">'Sludge Disposal Cash Flow 2019'!$A$1:$H$115</definedName>
    <definedName name="_xlnm.Print_Area" localSheetId="13">'TTS Analytical Costs'!$A$1:$P$122</definedName>
    <definedName name="_xlnm.Print_Area" localSheetId="11">'TTS Calculation Summary'!$A$1:$AL$121</definedName>
    <definedName name="_xlnm.Print_Area" localSheetId="9">'TTS Capital Cost'!$A$1:$I$88</definedName>
    <definedName name="_xlnm.Print_Area" localSheetId="7">'TTS Cash Flow'!$A$1:$L$111</definedName>
    <definedName name="_xlnm.Print_Area" localSheetId="16">'TTS Labor'!$A$1:$F$49</definedName>
    <definedName name="_xlnm.Print_Area" localSheetId="14">'TTS O&amp;M Input'!$A$1:$J$44</definedName>
    <definedName name="_xlnm.Print_Area" localSheetId="6">'Water Conveyance Cash Flow 2019'!$A$1:$K$118</definedName>
    <definedName name="_xlnm.Print_Titles" localSheetId="1">'2019 CCP Cash Flow'!$1:$10</definedName>
    <definedName name="_xlnm.Print_Titles" localSheetId="4">'Long Term ETS Cash Flow 2019'!$1:$10</definedName>
    <definedName name="_xlnm.Print_Titles" localSheetId="5">'Salt Disposal Cash Flow 2019'!$1:$9</definedName>
    <definedName name="_xlnm.Print_Titles" localSheetId="2">'Short Term ETS Cash Flow 2019'!$1:$9</definedName>
    <definedName name="_xlnm.Print_Titles" localSheetId="8">'Sludge Disposal Cash Flow 2019'!$1:$9</definedName>
    <definedName name="_xlnm.Print_Titles" localSheetId="13">'TTS Analytical Costs'!$1:$10</definedName>
    <definedName name="_xlnm.Print_Titles" localSheetId="15">'TTS Design Calcs'!$1:$8</definedName>
    <definedName name="_xlnm.Print_Titles" localSheetId="14">'TTS O&amp;M Input'!$1:$8</definedName>
    <definedName name="_xlnm.Print_Titles" localSheetId="6">'Water Conveyance Cash Flow 2019'!$1:$9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9" l="1"/>
  <c r="C4" i="9" l="1"/>
  <c r="D95" i="23" l="1"/>
  <c r="H11" i="24" l="1"/>
  <c r="C33" i="7" l="1"/>
  <c r="F56" i="6"/>
  <c r="B25" i="22" l="1"/>
  <c r="B17" i="22"/>
  <c r="E17" i="8"/>
  <c r="B17" i="8"/>
  <c r="G20" i="25" l="1"/>
  <c r="G21" i="25"/>
  <c r="G22" i="25"/>
  <c r="G23" i="25"/>
  <c r="G24" i="25"/>
  <c r="I20" i="25"/>
  <c r="I21" i="25"/>
  <c r="I22" i="25"/>
  <c r="I23" i="25"/>
  <c r="I24" i="25"/>
  <c r="F20" i="25"/>
  <c r="F21" i="25"/>
  <c r="F22" i="25"/>
  <c r="F23" i="25"/>
  <c r="F24" i="25"/>
  <c r="D20" i="25"/>
  <c r="D21" i="25"/>
  <c r="D22" i="25"/>
  <c r="D23" i="25"/>
  <c r="D24" i="25"/>
  <c r="C23" i="27" l="1"/>
  <c r="E20" i="25" l="1"/>
  <c r="I25" i="25"/>
  <c r="E13" i="8" l="1"/>
  <c r="E11" i="8"/>
  <c r="C25" i="25" l="1"/>
  <c r="E25" i="20"/>
  <c r="E26" i="20"/>
  <c r="N26" i="20" l="1"/>
  <c r="D25" i="25" l="1"/>
  <c r="F25" i="25"/>
  <c r="G25" i="25"/>
  <c r="D103" i="5" l="1"/>
  <c r="D24" i="5"/>
  <c r="H24" i="5" l="1"/>
  <c r="O26" i="20" s="1"/>
  <c r="C18" i="7"/>
  <c r="C17" i="7"/>
  <c r="C16" i="7"/>
  <c r="C15" i="7"/>
  <c r="C14" i="7"/>
  <c r="C13" i="7"/>
  <c r="H20" i="25" l="1"/>
  <c r="D19" i="23"/>
  <c r="D23" i="23"/>
  <c r="D22" i="23"/>
  <c r="D21" i="23"/>
  <c r="D20" i="23"/>
  <c r="D24" i="23"/>
  <c r="C18" i="23"/>
  <c r="B11" i="23"/>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H110" i="25" l="1"/>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24" i="25"/>
  <c r="H23" i="25"/>
  <c r="H22" i="25"/>
  <c r="H21" i="25"/>
  <c r="H25" i="25"/>
  <c r="E24" i="25"/>
  <c r="E23" i="25"/>
  <c r="E22" i="25"/>
  <c r="E21" i="25"/>
  <c r="E25" i="25"/>
  <c r="M24" i="25"/>
  <c r="M20" i="25"/>
  <c r="M23" i="25"/>
  <c r="M22" i="25"/>
  <c r="M21" i="25"/>
  <c r="M25" i="25"/>
  <c r="N25" i="25" l="1"/>
  <c r="B12" i="25"/>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E11" i="24"/>
  <c r="B11" i="24" l="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H13" i="24"/>
  <c r="J15" i="27" l="1"/>
  <c r="K15" i="27" s="1"/>
  <c r="J16" i="27"/>
  <c r="K16" i="27" s="1"/>
  <c r="J17" i="27"/>
  <c r="J18" i="27"/>
  <c r="J19" i="27"/>
  <c r="J20" i="27"/>
  <c r="K20" i="27" s="1"/>
  <c r="J21" i="27"/>
  <c r="K21" i="27" s="1"/>
  <c r="J22" i="27"/>
  <c r="K22" i="27" s="1"/>
  <c r="J23" i="27"/>
  <c r="K23" i="27" s="1"/>
  <c r="K17" i="27"/>
  <c r="K18" i="27"/>
  <c r="K19" i="27"/>
  <c r="C23" i="5"/>
  <c r="H17" i="24"/>
  <c r="H18" i="24"/>
  <c r="H19" i="24"/>
  <c r="E17" i="24"/>
  <c r="E18" i="24"/>
  <c r="E19" i="24"/>
  <c r="J19" i="18"/>
  <c r="B7" i="8"/>
  <c r="B7" i="14"/>
  <c r="B4" i="14"/>
  <c r="B5" i="7"/>
  <c r="B7" i="7"/>
  <c r="C5" i="9"/>
  <c r="B5" i="17"/>
  <c r="B7" i="18"/>
  <c r="B5" i="18"/>
  <c r="C7" i="6"/>
  <c r="C5" i="6"/>
  <c r="B7" i="10"/>
  <c r="B5" i="10"/>
  <c r="C7" i="5"/>
  <c r="C5" i="5"/>
  <c r="C7" i="27"/>
  <c r="C5" i="27"/>
  <c r="C5" i="23"/>
  <c r="C7" i="23"/>
  <c r="C7" i="25"/>
  <c r="C5" i="25"/>
  <c r="B7" i="22"/>
  <c r="B5" i="22"/>
  <c r="C7" i="24"/>
  <c r="C5" i="24"/>
  <c r="C7" i="20"/>
  <c r="C5" i="20"/>
  <c r="H23" i="5" l="1"/>
  <c r="O25" i="20" s="1"/>
  <c r="N25" i="20"/>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25" i="17"/>
  <c r="N111" i="17" l="1"/>
  <c r="N112" i="17"/>
  <c r="E7" i="32" l="1"/>
  <c r="E8" i="32"/>
  <c r="E9" i="32"/>
  <c r="E10" i="32"/>
  <c r="E11" i="32"/>
  <c r="E12" i="32"/>
  <c r="E13" i="32"/>
  <c r="E14" i="32"/>
  <c r="E20" i="32"/>
  <c r="E55" i="32"/>
  <c r="E105" i="32"/>
  <c r="E106" i="32"/>
  <c r="E107" i="32"/>
  <c r="E108" i="32"/>
  <c r="E109" i="32"/>
  <c r="E110" i="32"/>
  <c r="E111" i="32"/>
  <c r="E112" i="32"/>
  <c r="E113" i="32"/>
  <c r="E114" i="32"/>
  <c r="E115" i="32"/>
  <c r="E116" i="32"/>
  <c r="E117" i="32"/>
  <c r="E6" i="32"/>
  <c r="E27" i="31" l="1"/>
  <c r="E25" i="31"/>
  <c r="E24" i="31"/>
  <c r="U111" i="17" l="1"/>
  <c r="B111" i="17"/>
  <c r="C111" i="17"/>
  <c r="C127" i="17" s="1"/>
  <c r="M111" i="17"/>
  <c r="P111" i="17"/>
  <c r="U113" i="17" l="1"/>
  <c r="F119" i="27" l="1"/>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C31" i="7"/>
  <c r="H39" i="6" s="1"/>
  <c r="B21" i="22"/>
  <c r="B23" i="22" s="1"/>
  <c r="I56" i="6"/>
  <c r="H73" i="6"/>
  <c r="I73" i="6" s="1"/>
  <c r="C35" i="7"/>
  <c r="H43" i="6" s="1"/>
  <c r="C34" i="7"/>
  <c r="H51" i="6" s="1"/>
  <c r="C32" i="7"/>
  <c r="H47" i="6" s="1"/>
  <c r="P12" i="20"/>
  <c r="P20" i="20"/>
  <c r="P23" i="20"/>
  <c r="J13" i="20"/>
  <c r="J14" i="20"/>
  <c r="J15" i="20"/>
  <c r="J16" i="20"/>
  <c r="J12" i="20"/>
  <c r="E18" i="20"/>
  <c r="H11" i="23"/>
  <c r="Q13" i="20" s="1"/>
  <c r="H12" i="23"/>
  <c r="Q14" i="20" s="1"/>
  <c r="H13" i="23"/>
  <c r="Q15" i="20" s="1"/>
  <c r="H14" i="23"/>
  <c r="Q16" i="20" s="1"/>
  <c r="H15" i="23"/>
  <c r="Q17" i="20" s="1"/>
  <c r="H17" i="23"/>
  <c r="Q19" i="20" s="1"/>
  <c r="H18" i="23"/>
  <c r="Q20" i="20" s="1"/>
  <c r="H19" i="23"/>
  <c r="Q21" i="20" s="1"/>
  <c r="H20" i="23"/>
  <c r="Q22" i="20" s="1"/>
  <c r="H21" i="23"/>
  <c r="Q23" i="20" s="1"/>
  <c r="H22" i="23"/>
  <c r="Q24" i="20" s="1"/>
  <c r="H23" i="23"/>
  <c r="Q25" i="20" s="1"/>
  <c r="H24" i="23"/>
  <c r="Q26" i="20" s="1"/>
  <c r="D25" i="23"/>
  <c r="H25" i="23" s="1"/>
  <c r="Q27" i="20" s="1"/>
  <c r="D26" i="23"/>
  <c r="H26" i="23" s="1"/>
  <c r="Q28" i="20" s="1"/>
  <c r="D27" i="23"/>
  <c r="H27" i="23" s="1"/>
  <c r="Q29" i="20" s="1"/>
  <c r="D28" i="23"/>
  <c r="H28" i="23" s="1"/>
  <c r="Q30" i="20" s="1"/>
  <c r="D29" i="23"/>
  <c r="H29" i="23" s="1"/>
  <c r="Q31" i="20" s="1"/>
  <c r="D30" i="23"/>
  <c r="H30" i="23" s="1"/>
  <c r="Q32" i="20" s="1"/>
  <c r="D31" i="23"/>
  <c r="H31" i="23" s="1"/>
  <c r="Q33" i="20" s="1"/>
  <c r="D32" i="23"/>
  <c r="D33" i="23"/>
  <c r="H33" i="23" s="1"/>
  <c r="Q35" i="20" s="1"/>
  <c r="D34" i="23"/>
  <c r="H34" i="23" s="1"/>
  <c r="Q36" i="20" s="1"/>
  <c r="D35" i="23"/>
  <c r="H35" i="23" s="1"/>
  <c r="Q37" i="20" s="1"/>
  <c r="D36" i="23"/>
  <c r="H36" i="23" s="1"/>
  <c r="Q38" i="20" s="1"/>
  <c r="D37" i="23"/>
  <c r="H37" i="23" s="1"/>
  <c r="Q39" i="20" s="1"/>
  <c r="D38" i="23"/>
  <c r="H38" i="23" s="1"/>
  <c r="Q40" i="20" s="1"/>
  <c r="D39" i="23"/>
  <c r="H39" i="23" s="1"/>
  <c r="Q41" i="20" s="1"/>
  <c r="D40" i="23"/>
  <c r="H40" i="23" s="1"/>
  <c r="Q42" i="20" s="1"/>
  <c r="D41" i="23"/>
  <c r="H41" i="23" s="1"/>
  <c r="Q43" i="20" s="1"/>
  <c r="D42" i="23"/>
  <c r="H42" i="23" s="1"/>
  <c r="Q44" i="20" s="1"/>
  <c r="D43" i="23"/>
  <c r="H43" i="23" s="1"/>
  <c r="Q45" i="20" s="1"/>
  <c r="D44" i="23"/>
  <c r="H44" i="23" s="1"/>
  <c r="Q46" i="20" s="1"/>
  <c r="D45" i="23"/>
  <c r="H45" i="23" s="1"/>
  <c r="Q47" i="20" s="1"/>
  <c r="D46" i="23"/>
  <c r="H46" i="23" s="1"/>
  <c r="Q48" i="20" s="1"/>
  <c r="D47" i="23"/>
  <c r="H47" i="23" s="1"/>
  <c r="Q49" i="20" s="1"/>
  <c r="D48" i="23"/>
  <c r="H48" i="23" s="1"/>
  <c r="Q50" i="20" s="1"/>
  <c r="D49" i="23"/>
  <c r="H49" i="23" s="1"/>
  <c r="Q51" i="20" s="1"/>
  <c r="D50" i="23"/>
  <c r="H50" i="23" s="1"/>
  <c r="Q52" i="20" s="1"/>
  <c r="D51" i="23"/>
  <c r="H51" i="23" s="1"/>
  <c r="Q53" i="20" s="1"/>
  <c r="D52" i="23"/>
  <c r="H52" i="23" s="1"/>
  <c r="Q54" i="20" s="1"/>
  <c r="D53" i="23"/>
  <c r="H53" i="23" s="1"/>
  <c r="Q55" i="20" s="1"/>
  <c r="D54" i="23"/>
  <c r="H54" i="23" s="1"/>
  <c r="Q56" i="20" s="1"/>
  <c r="D55" i="23"/>
  <c r="H55" i="23" s="1"/>
  <c r="Q57" i="20" s="1"/>
  <c r="D56" i="23"/>
  <c r="H56" i="23" s="1"/>
  <c r="Q58" i="20" s="1"/>
  <c r="D57" i="23"/>
  <c r="H57" i="23" s="1"/>
  <c r="Q59" i="20" s="1"/>
  <c r="D58" i="23"/>
  <c r="H58" i="23" s="1"/>
  <c r="Q60" i="20" s="1"/>
  <c r="D59" i="23"/>
  <c r="H59" i="23" s="1"/>
  <c r="Q61" i="20" s="1"/>
  <c r="D60" i="23"/>
  <c r="H60" i="23" s="1"/>
  <c r="Q62" i="20" s="1"/>
  <c r="D61" i="23"/>
  <c r="H61" i="23" s="1"/>
  <c r="Q63" i="20" s="1"/>
  <c r="D62" i="23"/>
  <c r="H62" i="23" s="1"/>
  <c r="Q64" i="20" s="1"/>
  <c r="D63" i="23"/>
  <c r="H63" i="23" s="1"/>
  <c r="Q65" i="20" s="1"/>
  <c r="D64" i="23"/>
  <c r="H64" i="23" s="1"/>
  <c r="Q66" i="20" s="1"/>
  <c r="D65" i="23"/>
  <c r="H65" i="23" s="1"/>
  <c r="Q67" i="20" s="1"/>
  <c r="D66" i="23"/>
  <c r="H66" i="23" s="1"/>
  <c r="Q68" i="20" s="1"/>
  <c r="D67" i="23"/>
  <c r="H67" i="23" s="1"/>
  <c r="Q69" i="20" s="1"/>
  <c r="D68" i="23"/>
  <c r="H68" i="23" s="1"/>
  <c r="Q70" i="20" s="1"/>
  <c r="D69" i="23"/>
  <c r="H69" i="23" s="1"/>
  <c r="Q71" i="20" s="1"/>
  <c r="D70" i="23"/>
  <c r="H70" i="23" s="1"/>
  <c r="Q72" i="20" s="1"/>
  <c r="D71" i="23"/>
  <c r="H71" i="23" s="1"/>
  <c r="Q73" i="20" s="1"/>
  <c r="D72" i="23"/>
  <c r="H72" i="23" s="1"/>
  <c r="Q74" i="20" s="1"/>
  <c r="D73" i="23"/>
  <c r="H73" i="23" s="1"/>
  <c r="Q75" i="20" s="1"/>
  <c r="D74" i="23"/>
  <c r="H74" i="23" s="1"/>
  <c r="Q76" i="20" s="1"/>
  <c r="D75" i="23"/>
  <c r="H75" i="23" s="1"/>
  <c r="Q77" i="20" s="1"/>
  <c r="D76" i="23"/>
  <c r="H76" i="23" s="1"/>
  <c r="Q78" i="20" s="1"/>
  <c r="D77" i="23"/>
  <c r="H77" i="23" s="1"/>
  <c r="Q79" i="20" s="1"/>
  <c r="D78" i="23"/>
  <c r="H78" i="23" s="1"/>
  <c r="Q80" i="20" s="1"/>
  <c r="D79" i="23"/>
  <c r="H79" i="23" s="1"/>
  <c r="Q81" i="20" s="1"/>
  <c r="D80" i="23"/>
  <c r="H80" i="23" s="1"/>
  <c r="Q82" i="20" s="1"/>
  <c r="D81" i="23"/>
  <c r="H81" i="23" s="1"/>
  <c r="Q83" i="20" s="1"/>
  <c r="D82" i="23"/>
  <c r="H82" i="23" s="1"/>
  <c r="Q84" i="20" s="1"/>
  <c r="D83" i="23"/>
  <c r="H83" i="23" s="1"/>
  <c r="Q85" i="20" s="1"/>
  <c r="D84" i="23"/>
  <c r="H84" i="23" s="1"/>
  <c r="Q86" i="20" s="1"/>
  <c r="D85" i="23"/>
  <c r="H85" i="23" s="1"/>
  <c r="Q87" i="20" s="1"/>
  <c r="D86" i="23"/>
  <c r="H86" i="23" s="1"/>
  <c r="Q88" i="20" s="1"/>
  <c r="D87" i="23"/>
  <c r="H87" i="23" s="1"/>
  <c r="Q89" i="20" s="1"/>
  <c r="D88" i="23"/>
  <c r="H88" i="23" s="1"/>
  <c r="Q90" i="20" s="1"/>
  <c r="D89" i="23"/>
  <c r="H89" i="23" s="1"/>
  <c r="Q91" i="20" s="1"/>
  <c r="D90" i="23"/>
  <c r="H90" i="23" s="1"/>
  <c r="Q92" i="20" s="1"/>
  <c r="D91" i="23"/>
  <c r="H91" i="23" s="1"/>
  <c r="Q93" i="20" s="1"/>
  <c r="D92" i="23"/>
  <c r="H92" i="23" s="1"/>
  <c r="Q94" i="20" s="1"/>
  <c r="D93" i="23"/>
  <c r="H93" i="23" s="1"/>
  <c r="Q95" i="20" s="1"/>
  <c r="D94" i="23"/>
  <c r="H94" i="23" s="1"/>
  <c r="Q96" i="20" s="1"/>
  <c r="H95" i="23"/>
  <c r="Q97" i="20" s="1"/>
  <c r="D96" i="23"/>
  <c r="H96" i="23" s="1"/>
  <c r="Q98" i="20" s="1"/>
  <c r="D97" i="23"/>
  <c r="H97" i="23" s="1"/>
  <c r="Q99" i="20" s="1"/>
  <c r="D98" i="23"/>
  <c r="H98" i="23" s="1"/>
  <c r="Q100" i="20" s="1"/>
  <c r="D99" i="23"/>
  <c r="H99" i="23" s="1"/>
  <c r="Q101" i="20" s="1"/>
  <c r="D100" i="23"/>
  <c r="H100" i="23" s="1"/>
  <c r="Q102" i="20" s="1"/>
  <c r="D101" i="23"/>
  <c r="H101" i="23" s="1"/>
  <c r="Q103" i="20" s="1"/>
  <c r="D102" i="23"/>
  <c r="H102" i="23" s="1"/>
  <c r="Q104" i="20" s="1"/>
  <c r="D103" i="23"/>
  <c r="H103" i="23" s="1"/>
  <c r="Q105" i="20" s="1"/>
  <c r="D104" i="23"/>
  <c r="D105" i="23"/>
  <c r="H105" i="23" s="1"/>
  <c r="Q107" i="20" s="1"/>
  <c r="D106" i="23"/>
  <c r="H106" i="23" s="1"/>
  <c r="Q108" i="20" s="1"/>
  <c r="D107" i="23"/>
  <c r="H107" i="23" s="1"/>
  <c r="Q109" i="20" s="1"/>
  <c r="D108" i="23"/>
  <c r="H108" i="23" s="1"/>
  <c r="Q110" i="20" s="1"/>
  <c r="D109" i="23"/>
  <c r="K17" i="20"/>
  <c r="P17" i="20"/>
  <c r="P18" i="20"/>
  <c r="H16" i="5"/>
  <c r="O18" i="20" s="1"/>
  <c r="H17" i="5"/>
  <c r="O19" i="20" s="1"/>
  <c r="H18" i="5"/>
  <c r="O20" i="20" s="1"/>
  <c r="H19" i="5"/>
  <c r="O21" i="20" s="1"/>
  <c r="H20" i="5"/>
  <c r="O22" i="20" s="1"/>
  <c r="H21" i="5"/>
  <c r="O23" i="20" s="1"/>
  <c r="H22" i="5"/>
  <c r="O24" i="20" s="1"/>
  <c r="D25" i="5"/>
  <c r="D26" i="5"/>
  <c r="H26" i="5" s="1"/>
  <c r="O28" i="20" s="1"/>
  <c r="D27" i="5"/>
  <c r="H27" i="5" s="1"/>
  <c r="O29" i="20" s="1"/>
  <c r="D28" i="5"/>
  <c r="H28" i="5" s="1"/>
  <c r="O30" i="20" s="1"/>
  <c r="D29" i="5"/>
  <c r="H29" i="5" s="1"/>
  <c r="O31" i="20" s="1"/>
  <c r="D30" i="5"/>
  <c r="H30" i="5" s="1"/>
  <c r="O32" i="20" s="1"/>
  <c r="D31" i="5"/>
  <c r="H31" i="5" s="1"/>
  <c r="O33" i="20" s="1"/>
  <c r="D32" i="5"/>
  <c r="H32" i="5" s="1"/>
  <c r="O34" i="20" s="1"/>
  <c r="D33" i="5"/>
  <c r="H33" i="5"/>
  <c r="O35" i="20" s="1"/>
  <c r="D34" i="5"/>
  <c r="H34" i="5" s="1"/>
  <c r="O36" i="20" s="1"/>
  <c r="D35" i="5"/>
  <c r="H35" i="5" s="1"/>
  <c r="O37" i="20" s="1"/>
  <c r="D36" i="5"/>
  <c r="H36" i="5" s="1"/>
  <c r="O38" i="20" s="1"/>
  <c r="D37" i="5"/>
  <c r="H37" i="5" s="1"/>
  <c r="O39" i="20" s="1"/>
  <c r="D38" i="5"/>
  <c r="H38" i="5" s="1"/>
  <c r="O40" i="20" s="1"/>
  <c r="D39" i="5"/>
  <c r="H39" i="5" s="1"/>
  <c r="O41" i="20" s="1"/>
  <c r="D40" i="5"/>
  <c r="H40" i="5" s="1"/>
  <c r="O42" i="20" s="1"/>
  <c r="D41" i="5"/>
  <c r="H41" i="5" s="1"/>
  <c r="O43" i="20" s="1"/>
  <c r="D42" i="5"/>
  <c r="H42" i="5" s="1"/>
  <c r="O44" i="20" s="1"/>
  <c r="D43" i="5"/>
  <c r="H43" i="5" s="1"/>
  <c r="O45" i="20" s="1"/>
  <c r="D44" i="5"/>
  <c r="H44" i="5" s="1"/>
  <c r="O46" i="20" s="1"/>
  <c r="D45" i="5"/>
  <c r="H45" i="5" s="1"/>
  <c r="O47" i="20" s="1"/>
  <c r="D46" i="5"/>
  <c r="H46" i="5" s="1"/>
  <c r="O48" i="20" s="1"/>
  <c r="D47" i="5"/>
  <c r="H47" i="5" s="1"/>
  <c r="O49" i="20" s="1"/>
  <c r="D48" i="5"/>
  <c r="H48" i="5" s="1"/>
  <c r="O50" i="20" s="1"/>
  <c r="D49" i="5"/>
  <c r="H49" i="5" s="1"/>
  <c r="O51" i="20" s="1"/>
  <c r="D50" i="5"/>
  <c r="H50" i="5" s="1"/>
  <c r="O52" i="20" s="1"/>
  <c r="D51" i="5"/>
  <c r="H51" i="5" s="1"/>
  <c r="O53" i="20" s="1"/>
  <c r="D52" i="5"/>
  <c r="H52" i="5" s="1"/>
  <c r="O54" i="20" s="1"/>
  <c r="D53" i="5"/>
  <c r="H53" i="5" s="1"/>
  <c r="O55" i="20" s="1"/>
  <c r="D54" i="5"/>
  <c r="H54" i="5" s="1"/>
  <c r="O56" i="20" s="1"/>
  <c r="D55" i="5"/>
  <c r="H55" i="5" s="1"/>
  <c r="O57" i="20" s="1"/>
  <c r="D56" i="5"/>
  <c r="H56" i="5" s="1"/>
  <c r="O58" i="20" s="1"/>
  <c r="D57" i="5"/>
  <c r="H57" i="5" s="1"/>
  <c r="O59" i="20" s="1"/>
  <c r="D58" i="5"/>
  <c r="H58" i="5" s="1"/>
  <c r="O60" i="20" s="1"/>
  <c r="D59" i="5"/>
  <c r="H59" i="5" s="1"/>
  <c r="O61" i="20" s="1"/>
  <c r="D60" i="5"/>
  <c r="H60" i="5" s="1"/>
  <c r="O62" i="20" s="1"/>
  <c r="D61" i="5"/>
  <c r="H61" i="5" s="1"/>
  <c r="O63" i="20" s="1"/>
  <c r="D62" i="5"/>
  <c r="H62" i="5" s="1"/>
  <c r="O64" i="20" s="1"/>
  <c r="D63" i="5"/>
  <c r="H63" i="5" s="1"/>
  <c r="O65" i="20" s="1"/>
  <c r="D64" i="5"/>
  <c r="H64" i="5" s="1"/>
  <c r="O66" i="20" s="1"/>
  <c r="D65" i="5"/>
  <c r="H65" i="5" s="1"/>
  <c r="O67" i="20" s="1"/>
  <c r="D66" i="5"/>
  <c r="H66" i="5" s="1"/>
  <c r="O68" i="20" s="1"/>
  <c r="D67" i="5"/>
  <c r="H67" i="5" s="1"/>
  <c r="O69" i="20" s="1"/>
  <c r="D68" i="5"/>
  <c r="H68" i="5" s="1"/>
  <c r="O70" i="20" s="1"/>
  <c r="D69" i="5"/>
  <c r="H69" i="5" s="1"/>
  <c r="O71" i="20" s="1"/>
  <c r="D70" i="5"/>
  <c r="H70" i="5" s="1"/>
  <c r="O72" i="20" s="1"/>
  <c r="D71" i="5"/>
  <c r="H71" i="5" s="1"/>
  <c r="O73" i="20" s="1"/>
  <c r="D72" i="5"/>
  <c r="H72" i="5" s="1"/>
  <c r="O74" i="20" s="1"/>
  <c r="D73" i="5"/>
  <c r="H73" i="5" s="1"/>
  <c r="O75" i="20" s="1"/>
  <c r="D74" i="5"/>
  <c r="H74" i="5" s="1"/>
  <c r="O76" i="20" s="1"/>
  <c r="D75" i="5"/>
  <c r="H75" i="5" s="1"/>
  <c r="O77" i="20" s="1"/>
  <c r="D76" i="5"/>
  <c r="H76" i="5" s="1"/>
  <c r="O78" i="20" s="1"/>
  <c r="D77" i="5"/>
  <c r="H77" i="5" s="1"/>
  <c r="O79" i="20" s="1"/>
  <c r="D78" i="5"/>
  <c r="H78" i="5" s="1"/>
  <c r="O80" i="20" s="1"/>
  <c r="D79" i="5"/>
  <c r="H79" i="5" s="1"/>
  <c r="O81" i="20" s="1"/>
  <c r="D80" i="5"/>
  <c r="H80" i="5" s="1"/>
  <c r="O82" i="20" s="1"/>
  <c r="D81" i="5"/>
  <c r="H81" i="5" s="1"/>
  <c r="O83" i="20" s="1"/>
  <c r="D82" i="5"/>
  <c r="H82" i="5" s="1"/>
  <c r="O84" i="20" s="1"/>
  <c r="D83" i="5"/>
  <c r="H83" i="5" s="1"/>
  <c r="O85" i="20" s="1"/>
  <c r="D84" i="5"/>
  <c r="H84" i="5" s="1"/>
  <c r="O86" i="20" s="1"/>
  <c r="D85" i="5"/>
  <c r="H85" i="5" s="1"/>
  <c r="O87" i="20" s="1"/>
  <c r="D86" i="5"/>
  <c r="H86" i="5" s="1"/>
  <c r="O88" i="20" s="1"/>
  <c r="D87" i="5"/>
  <c r="H87" i="5" s="1"/>
  <c r="O89" i="20" s="1"/>
  <c r="D88" i="5"/>
  <c r="H88" i="5" s="1"/>
  <c r="O90" i="20" s="1"/>
  <c r="D89" i="5"/>
  <c r="H89" i="5" s="1"/>
  <c r="O91" i="20" s="1"/>
  <c r="D90" i="5"/>
  <c r="H90" i="5" s="1"/>
  <c r="O92" i="20" s="1"/>
  <c r="D91" i="5"/>
  <c r="H91" i="5" s="1"/>
  <c r="O93" i="20" s="1"/>
  <c r="D92" i="5"/>
  <c r="H92" i="5" s="1"/>
  <c r="O94" i="20" s="1"/>
  <c r="D93" i="5"/>
  <c r="H93" i="5" s="1"/>
  <c r="O95" i="20" s="1"/>
  <c r="D94" i="5"/>
  <c r="H94" i="5" s="1"/>
  <c r="O96" i="20" s="1"/>
  <c r="D95" i="5"/>
  <c r="H95" i="5" s="1"/>
  <c r="O97" i="20" s="1"/>
  <c r="D96" i="5"/>
  <c r="H96" i="5" s="1"/>
  <c r="O98" i="20" s="1"/>
  <c r="D97" i="5"/>
  <c r="H97" i="5" s="1"/>
  <c r="O99" i="20" s="1"/>
  <c r="D98" i="5"/>
  <c r="H98" i="5" s="1"/>
  <c r="O100" i="20" s="1"/>
  <c r="D99" i="5"/>
  <c r="H99" i="5" s="1"/>
  <c r="O101" i="20" s="1"/>
  <c r="D100" i="5"/>
  <c r="H100" i="5" s="1"/>
  <c r="O102" i="20" s="1"/>
  <c r="D101" i="5"/>
  <c r="H101" i="5" s="1"/>
  <c r="O103" i="20" s="1"/>
  <c r="D102" i="5"/>
  <c r="H102" i="5" s="1"/>
  <c r="O104" i="20" s="1"/>
  <c r="H103" i="5"/>
  <c r="O105" i="20" s="1"/>
  <c r="D104" i="5"/>
  <c r="H104" i="5" s="1"/>
  <c r="O106" i="20" s="1"/>
  <c r="D105" i="5"/>
  <c r="H105" i="5" s="1"/>
  <c r="O107" i="20" s="1"/>
  <c r="D106" i="5"/>
  <c r="H106" i="5" s="1"/>
  <c r="O108" i="20" s="1"/>
  <c r="D107" i="5"/>
  <c r="H107" i="5" s="1"/>
  <c r="O109" i="20" s="1"/>
  <c r="D108" i="5"/>
  <c r="H108" i="5" s="1"/>
  <c r="O110" i="20" s="1"/>
  <c r="D109" i="5"/>
  <c r="H109" i="5" s="1"/>
  <c r="O111" i="20" s="1"/>
  <c r="H14" i="5"/>
  <c r="O16" i="20" s="1"/>
  <c r="H10" i="5"/>
  <c r="O12" i="20" s="1"/>
  <c r="H11" i="5"/>
  <c r="O13" i="20" s="1"/>
  <c r="H12" i="5"/>
  <c r="O14" i="20" s="1"/>
  <c r="H13" i="5"/>
  <c r="O15" i="20" s="1"/>
  <c r="P19" i="20"/>
  <c r="P21" i="20"/>
  <c r="P22" i="20"/>
  <c r="P16" i="20"/>
  <c r="K18" i="20"/>
  <c r="K19" i="20"/>
  <c r="K20" i="20"/>
  <c r="K21" i="20"/>
  <c r="K22" i="20"/>
  <c r="K16" i="20"/>
  <c r="K12" i="20"/>
  <c r="K13" i="20"/>
  <c r="P13" i="20"/>
  <c r="K14" i="20"/>
  <c r="P14" i="20"/>
  <c r="K15" i="20"/>
  <c r="P15" i="20"/>
  <c r="K23" i="20"/>
  <c r="G119" i="25"/>
  <c r="D26" i="25"/>
  <c r="F26" i="25"/>
  <c r="D27" i="25"/>
  <c r="F27" i="25"/>
  <c r="D28" i="25"/>
  <c r="F28" i="25"/>
  <c r="D29" i="25"/>
  <c r="F29" i="25"/>
  <c r="D30" i="25"/>
  <c r="F30" i="25"/>
  <c r="D31" i="25"/>
  <c r="F31" i="25"/>
  <c r="D32" i="25"/>
  <c r="F32" i="25"/>
  <c r="D33" i="25"/>
  <c r="F33" i="25"/>
  <c r="D34" i="25"/>
  <c r="F34" i="25"/>
  <c r="D35" i="25"/>
  <c r="F35" i="25"/>
  <c r="D36" i="25"/>
  <c r="F36" i="25"/>
  <c r="D37" i="25"/>
  <c r="F37" i="25"/>
  <c r="D38" i="25"/>
  <c r="F38" i="25"/>
  <c r="D39" i="25"/>
  <c r="F39" i="25"/>
  <c r="D40" i="25"/>
  <c r="F40" i="25"/>
  <c r="D41" i="25"/>
  <c r="F41" i="25"/>
  <c r="D42" i="25"/>
  <c r="F42" i="25"/>
  <c r="D43" i="25"/>
  <c r="F43" i="25"/>
  <c r="D44" i="25"/>
  <c r="F44" i="25"/>
  <c r="D45" i="25"/>
  <c r="F45" i="25"/>
  <c r="D46" i="25"/>
  <c r="F46" i="25"/>
  <c r="D47" i="25"/>
  <c r="F47" i="25"/>
  <c r="D48" i="25"/>
  <c r="F48" i="25"/>
  <c r="D49" i="25"/>
  <c r="F49" i="25"/>
  <c r="D50" i="25"/>
  <c r="F50" i="25"/>
  <c r="D51" i="25"/>
  <c r="F51" i="25"/>
  <c r="D52" i="25"/>
  <c r="F52" i="25"/>
  <c r="D53" i="25"/>
  <c r="F53" i="25"/>
  <c r="D54" i="25"/>
  <c r="F54" i="25"/>
  <c r="D55" i="25"/>
  <c r="F55" i="25"/>
  <c r="D56" i="25"/>
  <c r="F56" i="25"/>
  <c r="D57" i="25"/>
  <c r="F57" i="25"/>
  <c r="D58" i="25"/>
  <c r="F58" i="25"/>
  <c r="D59" i="25"/>
  <c r="F59" i="25"/>
  <c r="D60" i="25"/>
  <c r="F60" i="25"/>
  <c r="D61" i="25"/>
  <c r="F61" i="25"/>
  <c r="D62" i="25"/>
  <c r="F62" i="25"/>
  <c r="D63" i="25"/>
  <c r="F63" i="25"/>
  <c r="D64" i="25"/>
  <c r="F64" i="25"/>
  <c r="D65" i="25"/>
  <c r="F65" i="25"/>
  <c r="D66" i="25"/>
  <c r="F66" i="25"/>
  <c r="D67" i="25"/>
  <c r="F67" i="25"/>
  <c r="D68" i="25"/>
  <c r="F68" i="25"/>
  <c r="D69" i="25"/>
  <c r="F69" i="25"/>
  <c r="D70" i="25"/>
  <c r="F70" i="25"/>
  <c r="D71" i="25"/>
  <c r="F71" i="25"/>
  <c r="D72" i="25"/>
  <c r="F72" i="25"/>
  <c r="D73" i="25"/>
  <c r="F73" i="25"/>
  <c r="D74" i="25"/>
  <c r="F74" i="25"/>
  <c r="D75" i="25"/>
  <c r="F75" i="25"/>
  <c r="D76" i="25"/>
  <c r="F76" i="25"/>
  <c r="D77" i="25"/>
  <c r="F77" i="25"/>
  <c r="D78" i="25"/>
  <c r="F78" i="25"/>
  <c r="D79" i="25"/>
  <c r="F79" i="25"/>
  <c r="D80" i="25"/>
  <c r="F80" i="25"/>
  <c r="D81" i="25"/>
  <c r="F81" i="25"/>
  <c r="D82" i="25"/>
  <c r="F82" i="25"/>
  <c r="D83" i="25"/>
  <c r="F83" i="25"/>
  <c r="D84" i="25"/>
  <c r="F84" i="25"/>
  <c r="D85" i="25"/>
  <c r="F85" i="25"/>
  <c r="D86" i="25"/>
  <c r="F86" i="25"/>
  <c r="D87" i="25"/>
  <c r="F87" i="25"/>
  <c r="D88" i="25"/>
  <c r="F88" i="25"/>
  <c r="D89" i="25"/>
  <c r="F89" i="25"/>
  <c r="D90" i="25"/>
  <c r="F90" i="25"/>
  <c r="D91" i="25"/>
  <c r="F91" i="25"/>
  <c r="D92" i="25"/>
  <c r="F92" i="25"/>
  <c r="D93" i="25"/>
  <c r="F93" i="25"/>
  <c r="D94" i="25"/>
  <c r="F94" i="25"/>
  <c r="D95" i="25"/>
  <c r="F95" i="25"/>
  <c r="D96" i="25"/>
  <c r="F96" i="25"/>
  <c r="D97" i="25"/>
  <c r="F97" i="25"/>
  <c r="D98" i="25"/>
  <c r="F98" i="25"/>
  <c r="D99" i="25"/>
  <c r="F99" i="25"/>
  <c r="D100" i="25"/>
  <c r="F100" i="25"/>
  <c r="D101" i="25"/>
  <c r="F101" i="25"/>
  <c r="D102" i="25"/>
  <c r="F102" i="25"/>
  <c r="D103" i="25"/>
  <c r="F103" i="25"/>
  <c r="D104" i="25"/>
  <c r="F104" i="25"/>
  <c r="D105" i="25"/>
  <c r="F105" i="25"/>
  <c r="D106" i="25"/>
  <c r="F106" i="25"/>
  <c r="D107" i="25"/>
  <c r="F107" i="25"/>
  <c r="D108" i="25"/>
  <c r="F108" i="25"/>
  <c r="D109" i="25"/>
  <c r="F109" i="25"/>
  <c r="D110" i="25"/>
  <c r="F110" i="25"/>
  <c r="M19" i="20"/>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D24" i="27"/>
  <c r="D25" i="27"/>
  <c r="D32" i="27"/>
  <c r="D33" i="27"/>
  <c r="D40" i="27"/>
  <c r="D41" i="27"/>
  <c r="D48" i="27"/>
  <c r="D49" i="27"/>
  <c r="D56" i="27"/>
  <c r="D57" i="27"/>
  <c r="D64" i="27"/>
  <c r="D65" i="27"/>
  <c r="D72" i="27"/>
  <c r="D73" i="27"/>
  <c r="D80" i="27"/>
  <c r="D81" i="27"/>
  <c r="D88" i="27"/>
  <c r="D89" i="27"/>
  <c r="D96" i="27"/>
  <c r="D97" i="27"/>
  <c r="D104" i="27"/>
  <c r="D105" i="27"/>
  <c r="B24" i="22"/>
  <c r="H10" i="23"/>
  <c r="E34" i="8"/>
  <c r="E31" i="8"/>
  <c r="E36" i="8"/>
  <c r="E35" i="8"/>
  <c r="B35" i="8"/>
  <c r="B34" i="8"/>
  <c r="B31" i="8"/>
  <c r="D34" i="18"/>
  <c r="D33" i="18"/>
  <c r="D31" i="18"/>
  <c r="D26" i="18"/>
  <c r="D25" i="18"/>
  <c r="D24" i="18"/>
  <c r="D23" i="18"/>
  <c r="D22" i="18"/>
  <c r="F34" i="18"/>
  <c r="H28" i="6" s="1"/>
  <c r="C140" i="14"/>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N13" i="20"/>
  <c r="N14" i="20"/>
  <c r="N15" i="20"/>
  <c r="N16" i="20"/>
  <c r="N18" i="20"/>
  <c r="N19" i="20"/>
  <c r="N20" i="20"/>
  <c r="N21" i="20"/>
  <c r="N22" i="20"/>
  <c r="N23" i="20"/>
  <c r="N24"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2" i="20"/>
  <c r="M13" i="20"/>
  <c r="M14" i="20"/>
  <c r="M15" i="20"/>
  <c r="M16" i="20"/>
  <c r="M12"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H17" i="20"/>
  <c r="H18" i="20"/>
  <c r="H19" i="20"/>
  <c r="H20" i="20"/>
  <c r="H21" i="20"/>
  <c r="H22" i="20"/>
  <c r="H23" i="20"/>
  <c r="H24"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3" i="20"/>
  <c r="H14" i="20"/>
  <c r="H15" i="20"/>
  <c r="H12" i="20"/>
  <c r="G13" i="20"/>
  <c r="G14" i="20"/>
  <c r="G15" i="20"/>
  <c r="G16" i="20"/>
  <c r="G17" i="20"/>
  <c r="G12"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 i="20"/>
  <c r="E17" i="20"/>
  <c r="C12" i="25"/>
  <c r="C13" i="25"/>
  <c r="C14" i="25"/>
  <c r="C15" i="25"/>
  <c r="C18" i="25"/>
  <c r="E20" i="20"/>
  <c r="C20" i="25"/>
  <c r="E21" i="20" s="1"/>
  <c r="C21" i="25"/>
  <c r="E22" i="20" s="1"/>
  <c r="C22" i="25"/>
  <c r="E23" i="20" s="1"/>
  <c r="C23" i="25"/>
  <c r="C26" i="25"/>
  <c r="E27" i="20" s="1"/>
  <c r="C27" i="25"/>
  <c r="E28" i="20" s="1"/>
  <c r="C28" i="25"/>
  <c r="E29" i="20" s="1"/>
  <c r="C29" i="25"/>
  <c r="E30" i="20" s="1"/>
  <c r="C30" i="25"/>
  <c r="E31" i="20" s="1"/>
  <c r="C31" i="25"/>
  <c r="E32" i="20" s="1"/>
  <c r="C32" i="25"/>
  <c r="E33" i="20" s="1"/>
  <c r="C33" i="25"/>
  <c r="E34" i="20" s="1"/>
  <c r="C34" i="25"/>
  <c r="C35" i="25"/>
  <c r="E36" i="20" s="1"/>
  <c r="C36" i="25"/>
  <c r="E37" i="20" s="1"/>
  <c r="C37" i="25"/>
  <c r="E38" i="20" s="1"/>
  <c r="C38" i="25"/>
  <c r="E39" i="20" s="1"/>
  <c r="C39" i="25"/>
  <c r="E40" i="20" s="1"/>
  <c r="C40" i="25"/>
  <c r="E41" i="20" s="1"/>
  <c r="C41" i="25"/>
  <c r="E42" i="20" s="1"/>
  <c r="C42" i="25"/>
  <c r="E43" i="20" s="1"/>
  <c r="C43" i="25"/>
  <c r="E44" i="20" s="1"/>
  <c r="C44" i="25"/>
  <c r="E45" i="20" s="1"/>
  <c r="C45" i="25"/>
  <c r="E46" i="20" s="1"/>
  <c r="C46" i="25"/>
  <c r="E47" i="20" s="1"/>
  <c r="C47" i="25"/>
  <c r="E48" i="20" s="1"/>
  <c r="C48" i="25"/>
  <c r="E49" i="20" s="1"/>
  <c r="C49" i="25"/>
  <c r="E50" i="20" s="1"/>
  <c r="C50" i="25"/>
  <c r="E51" i="20" s="1"/>
  <c r="C51" i="25"/>
  <c r="E52" i="20" s="1"/>
  <c r="C52" i="25"/>
  <c r="E53" i="20" s="1"/>
  <c r="C53" i="25"/>
  <c r="E54" i="20" s="1"/>
  <c r="C54" i="25"/>
  <c r="E55" i="20" s="1"/>
  <c r="C55" i="25"/>
  <c r="E56" i="20" s="1"/>
  <c r="C56" i="25"/>
  <c r="E57" i="20" s="1"/>
  <c r="C57" i="25"/>
  <c r="E58" i="20" s="1"/>
  <c r="C58" i="25"/>
  <c r="E59" i="20" s="1"/>
  <c r="C59" i="25"/>
  <c r="E60" i="20" s="1"/>
  <c r="C60" i="25"/>
  <c r="E61" i="20" s="1"/>
  <c r="C61" i="25"/>
  <c r="E62" i="20" s="1"/>
  <c r="C62" i="25"/>
  <c r="E63" i="20" s="1"/>
  <c r="C63" i="25"/>
  <c r="E64" i="20" s="1"/>
  <c r="C64" i="25"/>
  <c r="E65" i="20" s="1"/>
  <c r="C65" i="25"/>
  <c r="E66" i="20" s="1"/>
  <c r="C66" i="25"/>
  <c r="E67" i="20" s="1"/>
  <c r="C67" i="25"/>
  <c r="E68" i="20" s="1"/>
  <c r="C68" i="25"/>
  <c r="E69" i="20" s="1"/>
  <c r="C69" i="25"/>
  <c r="E70" i="20" s="1"/>
  <c r="C70" i="25"/>
  <c r="E71" i="20" s="1"/>
  <c r="C71" i="25"/>
  <c r="E72" i="20" s="1"/>
  <c r="C72" i="25"/>
  <c r="E73" i="20" s="1"/>
  <c r="C73" i="25"/>
  <c r="E74" i="20" s="1"/>
  <c r="C74" i="25"/>
  <c r="E75" i="20" s="1"/>
  <c r="C75" i="25"/>
  <c r="E76" i="20" s="1"/>
  <c r="C76" i="25"/>
  <c r="E77" i="20" s="1"/>
  <c r="C77" i="25"/>
  <c r="E78" i="20" s="1"/>
  <c r="C78" i="25"/>
  <c r="E79" i="20" s="1"/>
  <c r="C79" i="25"/>
  <c r="E80" i="20" s="1"/>
  <c r="C80" i="25"/>
  <c r="E81" i="20" s="1"/>
  <c r="C81" i="25"/>
  <c r="E82" i="20" s="1"/>
  <c r="C82" i="25"/>
  <c r="E83" i="20"/>
  <c r="C83" i="25"/>
  <c r="C84" i="25"/>
  <c r="C85" i="25"/>
  <c r="E86" i="20" s="1"/>
  <c r="C86" i="25"/>
  <c r="E87" i="20" s="1"/>
  <c r="C87" i="25"/>
  <c r="E88" i="20" s="1"/>
  <c r="C88" i="25"/>
  <c r="E89" i="20" s="1"/>
  <c r="C89" i="25"/>
  <c r="E90" i="20" s="1"/>
  <c r="C90" i="25"/>
  <c r="C91" i="25"/>
  <c r="E92" i="20"/>
  <c r="C92" i="25"/>
  <c r="E93" i="20" s="1"/>
  <c r="C93" i="25"/>
  <c r="E94" i="20" s="1"/>
  <c r="C94" i="25"/>
  <c r="E95" i="20" s="1"/>
  <c r="C95" i="25"/>
  <c r="E96" i="20" s="1"/>
  <c r="C96" i="25"/>
  <c r="E97" i="20" s="1"/>
  <c r="C97" i="25"/>
  <c r="C98" i="25"/>
  <c r="C99" i="25"/>
  <c r="E100" i="20" s="1"/>
  <c r="C100" i="25"/>
  <c r="E101" i="20" s="1"/>
  <c r="C101" i="25"/>
  <c r="E102" i="20" s="1"/>
  <c r="C102" i="25"/>
  <c r="E103" i="20" s="1"/>
  <c r="C103" i="25"/>
  <c r="E104" i="20" s="1"/>
  <c r="C104" i="25"/>
  <c r="E105" i="20" s="1"/>
  <c r="C105" i="25"/>
  <c r="E106" i="20"/>
  <c r="C106" i="25"/>
  <c r="E107" i="20" s="1"/>
  <c r="C107" i="25"/>
  <c r="E108" i="20" s="1"/>
  <c r="C108" i="25"/>
  <c r="E109" i="20" s="1"/>
  <c r="C109" i="25"/>
  <c r="E110" i="20" s="1"/>
  <c r="C110" i="25"/>
  <c r="E111" i="20" s="1"/>
  <c r="C11" i="25"/>
  <c r="D111" i="24"/>
  <c r="C110" i="27"/>
  <c r="G97" i="25"/>
  <c r="J24" i="27"/>
  <c r="L26" i="20" s="1"/>
  <c r="L18" i="20"/>
  <c r="J109" i="27"/>
  <c r="L111" i="20" s="1"/>
  <c r="J108" i="27"/>
  <c r="L110" i="20" s="1"/>
  <c r="J107" i="27"/>
  <c r="L109" i="20" s="1"/>
  <c r="J106" i="27"/>
  <c r="L108" i="20" s="1"/>
  <c r="J105" i="27"/>
  <c r="L107" i="20" s="1"/>
  <c r="J104" i="27"/>
  <c r="L106" i="20" s="1"/>
  <c r="J103" i="27"/>
  <c r="L105" i="20" s="1"/>
  <c r="J102" i="27"/>
  <c r="L104" i="20" s="1"/>
  <c r="J101" i="27"/>
  <c r="L103" i="20" s="1"/>
  <c r="J100" i="27"/>
  <c r="L102" i="20" s="1"/>
  <c r="J99" i="27"/>
  <c r="L101" i="20" s="1"/>
  <c r="J98" i="27"/>
  <c r="L100" i="20" s="1"/>
  <c r="J97" i="27"/>
  <c r="L99" i="20" s="1"/>
  <c r="J96" i="27"/>
  <c r="L98" i="20" s="1"/>
  <c r="J95" i="27"/>
  <c r="L97" i="20" s="1"/>
  <c r="J94" i="27"/>
  <c r="L96" i="20" s="1"/>
  <c r="J93" i="27"/>
  <c r="L95" i="20" s="1"/>
  <c r="J92" i="27"/>
  <c r="L94" i="20" s="1"/>
  <c r="J91" i="27"/>
  <c r="L93" i="20" s="1"/>
  <c r="J90" i="27"/>
  <c r="L92" i="20" s="1"/>
  <c r="J89" i="27"/>
  <c r="L91" i="20" s="1"/>
  <c r="J88" i="27"/>
  <c r="L90" i="20" s="1"/>
  <c r="J87" i="27"/>
  <c r="L89" i="20" s="1"/>
  <c r="J86" i="27"/>
  <c r="L88" i="20" s="1"/>
  <c r="J85" i="27"/>
  <c r="L87" i="20" s="1"/>
  <c r="J84" i="27"/>
  <c r="L86" i="20" s="1"/>
  <c r="J83" i="27"/>
  <c r="L85" i="20" s="1"/>
  <c r="J82" i="27"/>
  <c r="L84" i="20" s="1"/>
  <c r="J81" i="27"/>
  <c r="J80" i="27"/>
  <c r="L82" i="20" s="1"/>
  <c r="J79" i="27"/>
  <c r="L81" i="20" s="1"/>
  <c r="J78" i="27"/>
  <c r="L80" i="20" s="1"/>
  <c r="J77" i="27"/>
  <c r="L79" i="20" s="1"/>
  <c r="J76" i="27"/>
  <c r="L78" i="20" s="1"/>
  <c r="J75" i="27"/>
  <c r="L77" i="20" s="1"/>
  <c r="J74" i="27"/>
  <c r="J73" i="27"/>
  <c r="L75" i="20" s="1"/>
  <c r="J72" i="27"/>
  <c r="L74" i="20" s="1"/>
  <c r="J71" i="27"/>
  <c r="L73" i="20" s="1"/>
  <c r="J70" i="27"/>
  <c r="L72" i="20" s="1"/>
  <c r="J69" i="27"/>
  <c r="L71" i="20" s="1"/>
  <c r="J68" i="27"/>
  <c r="L70" i="20" s="1"/>
  <c r="J67" i="27"/>
  <c r="L69" i="20" s="1"/>
  <c r="J66" i="27"/>
  <c r="L68" i="20" s="1"/>
  <c r="J65" i="27"/>
  <c r="J64" i="27"/>
  <c r="L66" i="20" s="1"/>
  <c r="J63" i="27"/>
  <c r="L65" i="20" s="1"/>
  <c r="J62" i="27"/>
  <c r="L64" i="20" s="1"/>
  <c r="J61" i="27"/>
  <c r="J60" i="27"/>
  <c r="L62" i="20" s="1"/>
  <c r="J59" i="27"/>
  <c r="L61" i="20" s="1"/>
  <c r="J58" i="27"/>
  <c r="L60" i="20" s="1"/>
  <c r="J57" i="27"/>
  <c r="J56" i="27"/>
  <c r="L58" i="20" s="1"/>
  <c r="J55" i="27"/>
  <c r="L57" i="20" s="1"/>
  <c r="J54" i="27"/>
  <c r="L56" i="20" s="1"/>
  <c r="J53" i="27"/>
  <c r="L55" i="20" s="1"/>
  <c r="J52" i="27"/>
  <c r="L54" i="20" s="1"/>
  <c r="J51" i="27"/>
  <c r="L53" i="20" s="1"/>
  <c r="J50" i="27"/>
  <c r="L52" i="20" s="1"/>
  <c r="J49" i="27"/>
  <c r="L51" i="20" s="1"/>
  <c r="J48" i="27"/>
  <c r="L50" i="20" s="1"/>
  <c r="J47" i="27"/>
  <c r="L49" i="20" s="1"/>
  <c r="J46" i="27"/>
  <c r="L48" i="20" s="1"/>
  <c r="J45" i="27"/>
  <c r="J44" i="27"/>
  <c r="J43" i="27"/>
  <c r="L45" i="20" s="1"/>
  <c r="J42" i="27"/>
  <c r="L44" i="20" s="1"/>
  <c r="J41" i="27"/>
  <c r="L43" i="20" s="1"/>
  <c r="J40" i="27"/>
  <c r="L42" i="20" s="1"/>
  <c r="J39" i="27"/>
  <c r="L41" i="20" s="1"/>
  <c r="J38" i="27"/>
  <c r="L40" i="20" s="1"/>
  <c r="J37" i="27"/>
  <c r="L39" i="20" s="1"/>
  <c r="J36" i="27"/>
  <c r="L38" i="20" s="1"/>
  <c r="J35" i="27"/>
  <c r="L37" i="20" s="1"/>
  <c r="J34" i="27"/>
  <c r="L36" i="20" s="1"/>
  <c r="J33" i="27"/>
  <c r="L35" i="20" s="1"/>
  <c r="J32" i="27"/>
  <c r="L34" i="20" s="1"/>
  <c r="J31" i="27"/>
  <c r="L33" i="20" s="1"/>
  <c r="J30" i="27"/>
  <c r="L32" i="20" s="1"/>
  <c r="J29" i="27"/>
  <c r="L31" i="20" s="1"/>
  <c r="J28" i="27"/>
  <c r="L30" i="20" s="1"/>
  <c r="J27" i="27"/>
  <c r="L29" i="20" s="1"/>
  <c r="J26" i="27"/>
  <c r="L28" i="20" s="1"/>
  <c r="J25" i="27"/>
  <c r="L27" i="20" s="1"/>
  <c r="L24" i="20"/>
  <c r="L23" i="20"/>
  <c r="L22" i="20"/>
  <c r="L21" i="20"/>
  <c r="L20" i="20"/>
  <c r="L19" i="20"/>
  <c r="C12" i="20"/>
  <c r="M110" i="25"/>
  <c r="F111" i="20" s="1"/>
  <c r="M109" i="25"/>
  <c r="F110" i="20" s="1"/>
  <c r="M108" i="25"/>
  <c r="F109" i="20" s="1"/>
  <c r="M107" i="25"/>
  <c r="F108" i="20" s="1"/>
  <c r="M106" i="25"/>
  <c r="F107" i="20" s="1"/>
  <c r="M105" i="25"/>
  <c r="F106" i="20" s="1"/>
  <c r="M104" i="25"/>
  <c r="F105" i="20" s="1"/>
  <c r="M103" i="25"/>
  <c r="F104" i="20" s="1"/>
  <c r="M102" i="25"/>
  <c r="F103" i="20" s="1"/>
  <c r="M101" i="25"/>
  <c r="F102" i="20" s="1"/>
  <c r="M100" i="25"/>
  <c r="F101" i="20" s="1"/>
  <c r="M99" i="25"/>
  <c r="F100" i="20" s="1"/>
  <c r="M98" i="25"/>
  <c r="F99" i="20" s="1"/>
  <c r="M97" i="25"/>
  <c r="F98" i="20" s="1"/>
  <c r="M96" i="25"/>
  <c r="F97" i="20" s="1"/>
  <c r="M95" i="25"/>
  <c r="F96" i="20" s="1"/>
  <c r="M94" i="25"/>
  <c r="F95" i="20" s="1"/>
  <c r="M93" i="25"/>
  <c r="F94" i="20" s="1"/>
  <c r="M92" i="25"/>
  <c r="F93" i="20" s="1"/>
  <c r="M91" i="25"/>
  <c r="F92" i="20" s="1"/>
  <c r="M90" i="25"/>
  <c r="F91" i="20" s="1"/>
  <c r="M89" i="25"/>
  <c r="F90" i="20" s="1"/>
  <c r="M88" i="25"/>
  <c r="F89" i="20" s="1"/>
  <c r="M87" i="25"/>
  <c r="F88" i="20" s="1"/>
  <c r="M86" i="25"/>
  <c r="F87" i="20" s="1"/>
  <c r="M85" i="25"/>
  <c r="M84" i="25"/>
  <c r="M83" i="25"/>
  <c r="F84" i="20" s="1"/>
  <c r="M82" i="25"/>
  <c r="F83" i="20" s="1"/>
  <c r="M81" i="25"/>
  <c r="F82" i="20" s="1"/>
  <c r="M80" i="25"/>
  <c r="F81" i="20" s="1"/>
  <c r="M79" i="25"/>
  <c r="M78" i="25"/>
  <c r="F79" i="20" s="1"/>
  <c r="M77" i="25"/>
  <c r="F78" i="20" s="1"/>
  <c r="M76" i="25"/>
  <c r="F77" i="20" s="1"/>
  <c r="M75" i="25"/>
  <c r="F76" i="20" s="1"/>
  <c r="M74" i="25"/>
  <c r="F75" i="20" s="1"/>
  <c r="M73" i="25"/>
  <c r="F74" i="20" s="1"/>
  <c r="M72" i="25"/>
  <c r="F73" i="20" s="1"/>
  <c r="M71" i="25"/>
  <c r="F72" i="20" s="1"/>
  <c r="M70" i="25"/>
  <c r="F71" i="20" s="1"/>
  <c r="M69" i="25"/>
  <c r="F70" i="20" s="1"/>
  <c r="M68" i="25"/>
  <c r="F69" i="20" s="1"/>
  <c r="M67" i="25"/>
  <c r="F68" i="20" s="1"/>
  <c r="M66" i="25"/>
  <c r="F67" i="20" s="1"/>
  <c r="M65" i="25"/>
  <c r="M64" i="25"/>
  <c r="F65" i="20" s="1"/>
  <c r="M63" i="25"/>
  <c r="F64" i="20" s="1"/>
  <c r="M62" i="25"/>
  <c r="F63" i="20" s="1"/>
  <c r="M61" i="25"/>
  <c r="M60" i="25"/>
  <c r="F61" i="20" s="1"/>
  <c r="M59" i="25"/>
  <c r="M58" i="25"/>
  <c r="F59" i="20" s="1"/>
  <c r="M57" i="25"/>
  <c r="F58" i="20" s="1"/>
  <c r="M56" i="25"/>
  <c r="F57" i="20" s="1"/>
  <c r="M55" i="25"/>
  <c r="F56" i="20" s="1"/>
  <c r="M54" i="25"/>
  <c r="F55" i="20" s="1"/>
  <c r="M53" i="25"/>
  <c r="F54" i="20" s="1"/>
  <c r="M52" i="25"/>
  <c r="F53" i="20" s="1"/>
  <c r="M51" i="25"/>
  <c r="F52" i="20" s="1"/>
  <c r="M50" i="25"/>
  <c r="F51" i="20" s="1"/>
  <c r="M49" i="25"/>
  <c r="F50" i="20" s="1"/>
  <c r="M48" i="25"/>
  <c r="F49" i="20" s="1"/>
  <c r="M47" i="25"/>
  <c r="F48" i="20" s="1"/>
  <c r="M46" i="25"/>
  <c r="F47" i="20" s="1"/>
  <c r="M45" i="25"/>
  <c r="F46" i="20" s="1"/>
  <c r="M44" i="25"/>
  <c r="F45" i="20" s="1"/>
  <c r="M43" i="25"/>
  <c r="F44" i="20" s="1"/>
  <c r="M42" i="25"/>
  <c r="F43" i="20" s="1"/>
  <c r="M41" i="25"/>
  <c r="F42" i="20" s="1"/>
  <c r="M40" i="25"/>
  <c r="F41" i="20" s="1"/>
  <c r="M39" i="25"/>
  <c r="F40" i="20" s="1"/>
  <c r="M38" i="25"/>
  <c r="F39" i="20" s="1"/>
  <c r="M37" i="25"/>
  <c r="F38" i="20" s="1"/>
  <c r="M36" i="25"/>
  <c r="F37" i="20" s="1"/>
  <c r="M35" i="25"/>
  <c r="F36" i="20" s="1"/>
  <c r="M34" i="25"/>
  <c r="F35" i="20" s="1"/>
  <c r="M33" i="25"/>
  <c r="F34" i="20" s="1"/>
  <c r="M32" i="25"/>
  <c r="F33" i="20" s="1"/>
  <c r="M31" i="25"/>
  <c r="M30" i="25"/>
  <c r="F31" i="20" s="1"/>
  <c r="M29" i="25"/>
  <c r="F30" i="20" s="1"/>
  <c r="M28" i="25"/>
  <c r="F29" i="20" s="1"/>
  <c r="M27" i="25"/>
  <c r="F28" i="20" s="1"/>
  <c r="M26" i="25"/>
  <c r="F27" i="20" s="1"/>
  <c r="F26" i="20"/>
  <c r="N24" i="25"/>
  <c r="F22" i="20"/>
  <c r="F21" i="20"/>
  <c r="M19" i="25"/>
  <c r="F20" i="20" s="1"/>
  <c r="M18" i="25"/>
  <c r="F19" i="20" s="1"/>
  <c r="M17"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H16" i="24"/>
  <c r="C17" i="20" s="1"/>
  <c r="H15" i="24"/>
  <c r="C16" i="20" s="1"/>
  <c r="H14" i="24"/>
  <c r="C15" i="20" s="1"/>
  <c r="C14" i="20"/>
  <c r="H12" i="24"/>
  <c r="C13" i="20" s="1"/>
  <c r="K111" i="17"/>
  <c r="C112" i="17"/>
  <c r="K112" i="17"/>
  <c r="M112" i="17"/>
  <c r="P112" i="17"/>
  <c r="C28" i="14"/>
  <c r="C26" i="14"/>
  <c r="L6" i="10"/>
  <c r="B12" i="22"/>
  <c r="B14" i="22" s="1"/>
  <c r="E12" i="8"/>
  <c r="E16" i="8"/>
  <c r="E20" i="8"/>
  <c r="B20" i="8"/>
  <c r="B16" i="8"/>
  <c r="B18" i="8" s="1"/>
  <c r="B12" i="8"/>
  <c r="B14" i="8" s="1"/>
  <c r="O111"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2" i="9"/>
  <c r="C284" i="14"/>
  <c r="C298" i="14" s="1"/>
  <c r="C280" i="14"/>
  <c r="B4" i="18"/>
  <c r="B4" i="17"/>
  <c r="B4" i="22"/>
  <c r="B4" i="8"/>
  <c r="C4" i="23"/>
  <c r="C4" i="5"/>
  <c r="C4" i="27"/>
  <c r="B4" i="10"/>
  <c r="B4" i="7"/>
  <c r="C4" i="6"/>
  <c r="C4" i="25"/>
  <c r="C4" i="24"/>
  <c r="C4" i="20"/>
  <c r="C10" i="24"/>
  <c r="B11" i="20" s="1"/>
  <c r="B112" i="17"/>
  <c r="L17" i="17"/>
  <c r="H17" i="10" s="1"/>
  <c r="L18" i="17"/>
  <c r="L19" i="17"/>
  <c r="L20" i="17"/>
  <c r="H20" i="10" s="1"/>
  <c r="L21" i="17"/>
  <c r="H21" i="10" s="1"/>
  <c r="L22" i="17"/>
  <c r="L23" i="17"/>
  <c r="H23" i="10"/>
  <c r="L24" i="17"/>
  <c r="H24" i="10" s="1"/>
  <c r="L16" i="17"/>
  <c r="H10" i="24"/>
  <c r="C11" i="20" s="1"/>
  <c r="M11" i="25"/>
  <c r="F11" i="10"/>
  <c r="G11" i="10"/>
  <c r="H11" i="10"/>
  <c r="I11" i="10"/>
  <c r="L12" i="9"/>
  <c r="C17" i="18"/>
  <c r="C375" i="14" s="1"/>
  <c r="C377" i="14" s="1"/>
  <c r="C379" i="14" s="1"/>
  <c r="C384" i="14"/>
  <c r="C386" i="14" s="1"/>
  <c r="C388" i="14" s="1"/>
  <c r="J10" i="27"/>
  <c r="M12" i="25"/>
  <c r="F13" i="20" s="1"/>
  <c r="F12" i="10"/>
  <c r="G12" i="10"/>
  <c r="H12" i="10"/>
  <c r="I12" i="10"/>
  <c r="L13" i="9"/>
  <c r="N13" i="9" s="1"/>
  <c r="J11" i="27"/>
  <c r="K11" i="27" s="1"/>
  <c r="M13" i="25"/>
  <c r="F14" i="20" s="1"/>
  <c r="F13" i="10"/>
  <c r="G13" i="10"/>
  <c r="H13" i="10"/>
  <c r="I13" i="10"/>
  <c r="L14" i="9"/>
  <c r="N14" i="9" s="1"/>
  <c r="J12" i="27"/>
  <c r="K12" i="27" s="1"/>
  <c r="M14" i="25"/>
  <c r="F15" i="20" s="1"/>
  <c r="F14" i="10"/>
  <c r="G14" i="10"/>
  <c r="H14" i="10"/>
  <c r="I14" i="10"/>
  <c r="L15" i="9"/>
  <c r="N15" i="9" s="1"/>
  <c r="J13" i="27"/>
  <c r="M15" i="25"/>
  <c r="F16" i="20" s="1"/>
  <c r="F15" i="10"/>
  <c r="G15" i="10"/>
  <c r="H15" i="10"/>
  <c r="I15" i="10"/>
  <c r="L16" i="9"/>
  <c r="J14" i="27"/>
  <c r="L16" i="20" s="1"/>
  <c r="M16" i="25"/>
  <c r="N16" i="25" s="1"/>
  <c r="L17" i="9"/>
  <c r="N17" i="9" s="1"/>
  <c r="L17" i="20"/>
  <c r="L18" i="9"/>
  <c r="N18" i="9" s="1"/>
  <c r="C19" i="20"/>
  <c r="L19" i="9"/>
  <c r="N19" i="9" s="1"/>
  <c r="C20" i="20"/>
  <c r="L20" i="9"/>
  <c r="N20" i="9" s="1"/>
  <c r="C21" i="20"/>
  <c r="L21" i="9"/>
  <c r="N21" i="9" s="1"/>
  <c r="C22" i="20"/>
  <c r="L22" i="9"/>
  <c r="N22" i="9" s="1"/>
  <c r="C23" i="20"/>
  <c r="L23" i="9"/>
  <c r="N23" i="9" s="1"/>
  <c r="L24" i="9"/>
  <c r="N24" i="9" s="1"/>
  <c r="L25" i="9"/>
  <c r="N25" i="9" s="1"/>
  <c r="L25" i="20"/>
  <c r="H25" i="24"/>
  <c r="C26" i="20" s="1"/>
  <c r="L26" i="9"/>
  <c r="N26" i="9" s="1"/>
  <c r="H26" i="24"/>
  <c r="C27" i="20" s="1"/>
  <c r="L27" i="9"/>
  <c r="N27" i="9" s="1"/>
  <c r="H27" i="24"/>
  <c r="L28" i="9"/>
  <c r="N28" i="9" s="1"/>
  <c r="H28" i="24"/>
  <c r="C29" i="20" s="1"/>
  <c r="L29" i="9"/>
  <c r="N29" i="9" s="1"/>
  <c r="H29" i="24"/>
  <c r="L30" i="9"/>
  <c r="N30" i="9" s="1"/>
  <c r="H30" i="24"/>
  <c r="C31" i="20" s="1"/>
  <c r="L31" i="9"/>
  <c r="N31" i="9" s="1"/>
  <c r="H31" i="24"/>
  <c r="I31" i="24" s="1"/>
  <c r="L32" i="9"/>
  <c r="N32" i="9" s="1"/>
  <c r="H32" i="24"/>
  <c r="C33" i="20" s="1"/>
  <c r="L33" i="9"/>
  <c r="N33" i="9" s="1"/>
  <c r="H33" i="24"/>
  <c r="C34" i="20" s="1"/>
  <c r="L34" i="9"/>
  <c r="N34" i="9" s="1"/>
  <c r="H34" i="24"/>
  <c r="I34" i="24" s="1"/>
  <c r="L35" i="9"/>
  <c r="N35" i="9" s="1"/>
  <c r="H35" i="24"/>
  <c r="C36" i="20" s="1"/>
  <c r="L36" i="9"/>
  <c r="N36" i="9" s="1"/>
  <c r="H36" i="24"/>
  <c r="C37" i="20" s="1"/>
  <c r="L37" i="9"/>
  <c r="N37" i="9" s="1"/>
  <c r="H37" i="24"/>
  <c r="L38" i="9"/>
  <c r="N38" i="9" s="1"/>
  <c r="H38" i="24"/>
  <c r="L39" i="9"/>
  <c r="N39" i="9" s="1"/>
  <c r="H39" i="24"/>
  <c r="L40" i="9"/>
  <c r="N40" i="9" s="1"/>
  <c r="H40" i="24"/>
  <c r="C41" i="20" s="1"/>
  <c r="L41" i="9"/>
  <c r="N41" i="9" s="1"/>
  <c r="H41" i="24"/>
  <c r="L42" i="9"/>
  <c r="N42" i="9" s="1"/>
  <c r="H42" i="24"/>
  <c r="C43" i="20" s="1"/>
  <c r="L43" i="9"/>
  <c r="N43" i="9" s="1"/>
  <c r="H43" i="24"/>
  <c r="C44" i="20" s="1"/>
  <c r="L44" i="9"/>
  <c r="H44" i="24"/>
  <c r="C45" i="20" s="1"/>
  <c r="L45" i="9"/>
  <c r="N45" i="9" s="1"/>
  <c r="H45" i="24"/>
  <c r="L46" i="9"/>
  <c r="N46" i="9" s="1"/>
  <c r="L46" i="20"/>
  <c r="H46" i="24"/>
  <c r="C47" i="20" s="1"/>
  <c r="L47" i="9"/>
  <c r="N47" i="9" s="1"/>
  <c r="L47" i="20"/>
  <c r="H47" i="24"/>
  <c r="I47" i="24" s="1"/>
  <c r="L48" i="9"/>
  <c r="N48" i="9" s="1"/>
  <c r="H48" i="24"/>
  <c r="I48" i="24" s="1"/>
  <c r="C49" i="20"/>
  <c r="L49" i="9"/>
  <c r="N49" i="9" s="1"/>
  <c r="H49" i="24"/>
  <c r="I49" i="24" s="1"/>
  <c r="L50" i="9"/>
  <c r="N50" i="9" s="1"/>
  <c r="H50" i="24"/>
  <c r="L51" i="9"/>
  <c r="N51" i="9" s="1"/>
  <c r="H51" i="24"/>
  <c r="C52" i="20" s="1"/>
  <c r="L52" i="9"/>
  <c r="N52" i="9" s="1"/>
  <c r="H52" i="24"/>
  <c r="C53" i="20" s="1"/>
  <c r="L53" i="9"/>
  <c r="N53" i="9" s="1"/>
  <c r="H53" i="24"/>
  <c r="C54" i="20" s="1"/>
  <c r="L54" i="9"/>
  <c r="N54" i="9" s="1"/>
  <c r="H54" i="24"/>
  <c r="C55" i="20" s="1"/>
  <c r="L55" i="9"/>
  <c r="H55" i="24"/>
  <c r="L56" i="9"/>
  <c r="N56" i="9" s="1"/>
  <c r="H56" i="24"/>
  <c r="C57" i="20" s="1"/>
  <c r="L57" i="9"/>
  <c r="H57" i="24"/>
  <c r="C58" i="20" s="1"/>
  <c r="L58" i="9"/>
  <c r="H58" i="24"/>
  <c r="C59" i="20" s="1"/>
  <c r="L59" i="9"/>
  <c r="N59" i="9" s="1"/>
  <c r="L59" i="20"/>
  <c r="H59" i="24"/>
  <c r="L60" i="9"/>
  <c r="N60" i="9" s="1"/>
  <c r="H60" i="24"/>
  <c r="C61" i="20" s="1"/>
  <c r="L61" i="9"/>
  <c r="N61" i="9" s="1"/>
  <c r="H61" i="24"/>
  <c r="L62" i="9"/>
  <c r="N62" i="9" s="1"/>
  <c r="H62" i="24"/>
  <c r="I62" i="24" s="1"/>
  <c r="L63" i="9"/>
  <c r="N63" i="9" s="1"/>
  <c r="L63" i="20"/>
  <c r="H63" i="24"/>
  <c r="L64" i="9"/>
  <c r="N64" i="9" s="1"/>
  <c r="H64" i="24"/>
  <c r="C65" i="20" s="1"/>
  <c r="L65" i="9"/>
  <c r="N65" i="9" s="1"/>
  <c r="H65" i="24"/>
  <c r="L66" i="9"/>
  <c r="N66" i="9" s="1"/>
  <c r="H66" i="24"/>
  <c r="C67" i="20" s="1"/>
  <c r="L67" i="9"/>
  <c r="N67" i="9" s="1"/>
  <c r="L67" i="20"/>
  <c r="H67" i="24"/>
  <c r="I67" i="24" s="1"/>
  <c r="L68" i="9"/>
  <c r="N68" i="9" s="1"/>
  <c r="H68" i="24"/>
  <c r="C69" i="20" s="1"/>
  <c r="L69" i="9"/>
  <c r="N69" i="9" s="1"/>
  <c r="H69" i="24"/>
  <c r="C70" i="20" s="1"/>
  <c r="L70" i="9"/>
  <c r="N70" i="9" s="1"/>
  <c r="H70" i="24"/>
  <c r="I70" i="24" s="1"/>
  <c r="L71" i="9"/>
  <c r="N71" i="9" s="1"/>
  <c r="H71" i="24"/>
  <c r="I71" i="24" s="1"/>
  <c r="L72" i="9"/>
  <c r="N72" i="9" s="1"/>
  <c r="H72" i="24"/>
  <c r="L73" i="9"/>
  <c r="H73" i="24"/>
  <c r="I73" i="24" s="1"/>
  <c r="L74" i="9"/>
  <c r="N74" i="9" s="1"/>
  <c r="H74" i="24"/>
  <c r="C75" i="20" s="1"/>
  <c r="L75" i="9"/>
  <c r="N75" i="9" s="1"/>
  <c r="H75" i="24"/>
  <c r="C76" i="20" s="1"/>
  <c r="L76" i="9"/>
  <c r="N76" i="9" s="1"/>
  <c r="H76" i="24"/>
  <c r="I76" i="24" s="1"/>
  <c r="L77" i="9"/>
  <c r="N77" i="9" s="1"/>
  <c r="H77" i="24"/>
  <c r="C78" i="20" s="1"/>
  <c r="L78" i="9"/>
  <c r="N78" i="9" s="1"/>
  <c r="H78" i="24"/>
  <c r="L79" i="9"/>
  <c r="N79" i="9" s="1"/>
  <c r="H79" i="24"/>
  <c r="I79" i="24" s="1"/>
  <c r="L80" i="9"/>
  <c r="N80" i="9" s="1"/>
  <c r="H80" i="24"/>
  <c r="C81" i="20" s="1"/>
  <c r="L81" i="9"/>
  <c r="N81" i="9" s="1"/>
  <c r="H81" i="24"/>
  <c r="I81" i="24" s="1"/>
  <c r="L82" i="9"/>
  <c r="N82" i="9" s="1"/>
  <c r="H82" i="24"/>
  <c r="C83" i="20" s="1"/>
  <c r="L83" i="9"/>
  <c r="N83" i="9" s="1"/>
  <c r="L83" i="20"/>
  <c r="H83" i="24"/>
  <c r="L84" i="9"/>
  <c r="N84" i="9" s="1"/>
  <c r="H84" i="24"/>
  <c r="I84" i="24" s="1"/>
  <c r="L85" i="9"/>
  <c r="N85" i="9" s="1"/>
  <c r="H85" i="24"/>
  <c r="C86" i="20" s="1"/>
  <c r="L86" i="9"/>
  <c r="N86" i="9" s="1"/>
  <c r="H86" i="24"/>
  <c r="C87" i="20" s="1"/>
  <c r="L87" i="9"/>
  <c r="N87" i="9" s="1"/>
  <c r="H87" i="24"/>
  <c r="L88" i="9"/>
  <c r="N88" i="9" s="1"/>
  <c r="H88" i="24"/>
  <c r="L89" i="9"/>
  <c r="N89" i="9" s="1"/>
  <c r="H89" i="24"/>
  <c r="I89" i="24" s="1"/>
  <c r="L90" i="9"/>
  <c r="N90" i="9" s="1"/>
  <c r="H90" i="24"/>
  <c r="C91" i="20" s="1"/>
  <c r="L91" i="9"/>
  <c r="N91" i="9" s="1"/>
  <c r="H91" i="24"/>
  <c r="L92" i="9"/>
  <c r="H92" i="24"/>
  <c r="L93" i="9"/>
  <c r="N93" i="9" s="1"/>
  <c r="H93" i="24"/>
  <c r="L94" i="9"/>
  <c r="N94" i="9" s="1"/>
  <c r="H94" i="24"/>
  <c r="L95" i="9"/>
  <c r="N95" i="9" s="1"/>
  <c r="H95" i="24"/>
  <c r="C96" i="20" s="1"/>
  <c r="L96" i="9"/>
  <c r="N96" i="9" s="1"/>
  <c r="H96" i="24"/>
  <c r="C97" i="20" s="1"/>
  <c r="L97" i="9"/>
  <c r="N97" i="9" s="1"/>
  <c r="H97" i="24"/>
  <c r="C98" i="20" s="1"/>
  <c r="L98" i="9"/>
  <c r="N98" i="9" s="1"/>
  <c r="H98" i="24"/>
  <c r="L99" i="9"/>
  <c r="N99" i="9" s="1"/>
  <c r="H99" i="24"/>
  <c r="L100" i="9"/>
  <c r="N100" i="9" s="1"/>
  <c r="H100" i="24"/>
  <c r="C101" i="20" s="1"/>
  <c r="L101" i="9"/>
  <c r="N101" i="9" s="1"/>
  <c r="H101" i="24"/>
  <c r="I101" i="24" s="1"/>
  <c r="L102" i="9"/>
  <c r="N102" i="9" s="1"/>
  <c r="H102" i="24"/>
  <c r="L103" i="9"/>
  <c r="N103" i="9" s="1"/>
  <c r="H103" i="24"/>
  <c r="L104" i="9"/>
  <c r="H104" i="24"/>
  <c r="C105" i="20" s="1"/>
  <c r="L105" i="9"/>
  <c r="N105" i="9" s="1"/>
  <c r="H105" i="24"/>
  <c r="C106" i="20" s="1"/>
  <c r="L106" i="9"/>
  <c r="N106" i="9" s="1"/>
  <c r="H106" i="24"/>
  <c r="C107" i="20" s="1"/>
  <c r="L107" i="9"/>
  <c r="N107" i="9" s="1"/>
  <c r="H107" i="24"/>
  <c r="C108" i="20" s="1"/>
  <c r="L108" i="9"/>
  <c r="N108" i="9" s="1"/>
  <c r="H108" i="24"/>
  <c r="I108" i="24" s="1"/>
  <c r="L109" i="9"/>
  <c r="N109" i="9" s="1"/>
  <c r="H109" i="24"/>
  <c r="C110" i="20" s="1"/>
  <c r="L110" i="9"/>
  <c r="N110" i="9" s="1"/>
  <c r="H110" i="24"/>
  <c r="C111" i="20" s="1"/>
  <c r="L111" i="9"/>
  <c r="N111" i="9" s="1"/>
  <c r="B21" i="8"/>
  <c r="B28" i="8" s="1"/>
  <c r="D61" i="6"/>
  <c r="D60" i="6" s="1"/>
  <c r="F60" i="6" s="1"/>
  <c r="I60" i="6" s="1"/>
  <c r="I69" i="6"/>
  <c r="I70" i="6"/>
  <c r="I74" i="6"/>
  <c r="I76" i="6"/>
  <c r="I77" i="6"/>
  <c r="I36" i="6"/>
  <c r="F39" i="6"/>
  <c r="I40" i="6"/>
  <c r="F43" i="6"/>
  <c r="I44" i="6"/>
  <c r="F47" i="6"/>
  <c r="I48" i="6"/>
  <c r="F51" i="6"/>
  <c r="I52" i="6"/>
  <c r="F55" i="6"/>
  <c r="I57" i="6"/>
  <c r="F11" i="6"/>
  <c r="M17" i="18"/>
  <c r="N17" i="18"/>
  <c r="F12" i="6"/>
  <c r="I18" i="18"/>
  <c r="K18" i="18" s="1"/>
  <c r="N18" i="18"/>
  <c r="F13" i="6"/>
  <c r="N19" i="18"/>
  <c r="F14" i="6"/>
  <c r="C224" i="14"/>
  <c r="F226" i="14" s="1"/>
  <c r="I97" i="14"/>
  <c r="E46" i="17" s="1"/>
  <c r="D46" i="17" s="1"/>
  <c r="N20" i="18"/>
  <c r="F15" i="6"/>
  <c r="M21" i="18"/>
  <c r="N21" i="18"/>
  <c r="F16" i="6"/>
  <c r="N22" i="18"/>
  <c r="F17" i="6"/>
  <c r="N23" i="18"/>
  <c r="F18" i="6"/>
  <c r="M24" i="18"/>
  <c r="N24" i="18"/>
  <c r="F19" i="6"/>
  <c r="M25" i="18"/>
  <c r="N25" i="18"/>
  <c r="F20" i="6"/>
  <c r="M26" i="18"/>
  <c r="N26" i="18"/>
  <c r="F21" i="6"/>
  <c r="K27" i="18"/>
  <c r="M27" i="18" s="1"/>
  <c r="N27" i="18"/>
  <c r="F22" i="6"/>
  <c r="N28" i="18"/>
  <c r="F23" i="6"/>
  <c r="F186" i="14"/>
  <c r="N29" i="18"/>
  <c r="F24" i="6"/>
  <c r="F206" i="14"/>
  <c r="N30" i="18"/>
  <c r="F25" i="6"/>
  <c r="N31" i="18"/>
  <c r="F26" i="6"/>
  <c r="N32" i="18"/>
  <c r="F27" i="6"/>
  <c r="N33" i="18"/>
  <c r="F28" i="6"/>
  <c r="F29" i="6"/>
  <c r="H29" i="6"/>
  <c r="F30" i="6"/>
  <c r="H30" i="6"/>
  <c r="F31" i="6"/>
  <c r="H31" i="6"/>
  <c r="F32" i="6"/>
  <c r="H32" i="6"/>
  <c r="I33" i="6"/>
  <c r="G24" i="20"/>
  <c r="G24" i="27"/>
  <c r="G26" i="25"/>
  <c r="H26" i="25"/>
  <c r="E25" i="8"/>
  <c r="E21" i="8"/>
  <c r="G25" i="27"/>
  <c r="G27" i="25"/>
  <c r="H27" i="25"/>
  <c r="G26" i="27"/>
  <c r="G28" i="25"/>
  <c r="H28" i="25"/>
  <c r="G27" i="27"/>
  <c r="G29" i="25"/>
  <c r="H29" i="25"/>
  <c r="G28" i="27"/>
  <c r="G30" i="25"/>
  <c r="H30" i="25"/>
  <c r="G29" i="27"/>
  <c r="G31" i="25"/>
  <c r="H31" i="25"/>
  <c r="G30" i="27"/>
  <c r="G32" i="25"/>
  <c r="H32" i="25"/>
  <c r="G31" i="27"/>
  <c r="G33" i="25"/>
  <c r="H33" i="25"/>
  <c r="G32" i="27"/>
  <c r="G34" i="25"/>
  <c r="H34" i="25"/>
  <c r="G33" i="27"/>
  <c r="G35" i="25"/>
  <c r="H35" i="25"/>
  <c r="G34" i="27"/>
  <c r="G36" i="25"/>
  <c r="H36" i="25"/>
  <c r="G35" i="27"/>
  <c r="G37" i="25"/>
  <c r="G36" i="27"/>
  <c r="G38" i="25"/>
  <c r="G37" i="27"/>
  <c r="G39" i="25"/>
  <c r="G38" i="27"/>
  <c r="G40" i="25"/>
  <c r="F39" i="27"/>
  <c r="G39" i="27"/>
  <c r="G41" i="25"/>
  <c r="F40" i="27"/>
  <c r="G40" i="27"/>
  <c r="G42" i="25"/>
  <c r="G41" i="27"/>
  <c r="G43" i="25"/>
  <c r="G42" i="27"/>
  <c r="G44" i="25"/>
  <c r="G43" i="27"/>
  <c r="G45" i="25"/>
  <c r="G44" i="27"/>
  <c r="G46" i="25"/>
  <c r="G45" i="27"/>
  <c r="G47" i="25"/>
  <c r="G46" i="27"/>
  <c r="G48" i="25"/>
  <c r="F47" i="27"/>
  <c r="G47" i="27"/>
  <c r="G49" i="25"/>
  <c r="F48" i="27"/>
  <c r="G48" i="27"/>
  <c r="G50" i="25"/>
  <c r="G49" i="27"/>
  <c r="G51" i="25"/>
  <c r="G50" i="27"/>
  <c r="G52" i="25"/>
  <c r="G51" i="27"/>
  <c r="G53" i="25"/>
  <c r="G52" i="27"/>
  <c r="G54" i="25"/>
  <c r="G53" i="27"/>
  <c r="G55" i="25"/>
  <c r="G54" i="27"/>
  <c r="G56" i="25"/>
  <c r="F55" i="27"/>
  <c r="G55" i="27"/>
  <c r="G57" i="25"/>
  <c r="F56" i="27"/>
  <c r="G56" i="27"/>
  <c r="G58" i="25"/>
  <c r="G57" i="27"/>
  <c r="G59" i="25"/>
  <c r="G58" i="27"/>
  <c r="G60" i="25"/>
  <c r="G59" i="27"/>
  <c r="G61" i="25"/>
  <c r="G60" i="27"/>
  <c r="G62" i="25"/>
  <c r="G61" i="27"/>
  <c r="G63" i="25"/>
  <c r="G62" i="27"/>
  <c r="G64" i="25"/>
  <c r="F63" i="27"/>
  <c r="G63" i="27"/>
  <c r="G65" i="25"/>
  <c r="F64" i="27"/>
  <c r="G64" i="27"/>
  <c r="G66" i="25"/>
  <c r="G65" i="27"/>
  <c r="G67" i="25"/>
  <c r="G66" i="27"/>
  <c r="G68" i="25"/>
  <c r="G67" i="27"/>
  <c r="G69" i="25"/>
  <c r="G68" i="27"/>
  <c r="G70" i="25"/>
  <c r="G69" i="27"/>
  <c r="G71" i="25"/>
  <c r="G70" i="27"/>
  <c r="G72" i="25"/>
  <c r="F71" i="27"/>
  <c r="G71" i="27"/>
  <c r="G73" i="25"/>
  <c r="F72" i="27"/>
  <c r="G72" i="27"/>
  <c r="G74" i="25"/>
  <c r="F73" i="27"/>
  <c r="G73" i="27"/>
  <c r="G75" i="25"/>
  <c r="G74" i="27"/>
  <c r="G76" i="25"/>
  <c r="G75" i="27"/>
  <c r="G77" i="25"/>
  <c r="G76" i="27"/>
  <c r="G78" i="25"/>
  <c r="G77" i="27"/>
  <c r="G79" i="25"/>
  <c r="G78" i="27"/>
  <c r="G80" i="25"/>
  <c r="G79" i="27"/>
  <c r="G81" i="25"/>
  <c r="F80" i="27"/>
  <c r="G80" i="27"/>
  <c r="G82" i="25"/>
  <c r="F81" i="27"/>
  <c r="G81" i="27"/>
  <c r="G83" i="25"/>
  <c r="G82" i="27"/>
  <c r="G84" i="25"/>
  <c r="G83" i="27"/>
  <c r="G85" i="25"/>
  <c r="G84" i="27"/>
  <c r="G86" i="25"/>
  <c r="G85" i="27"/>
  <c r="G87" i="25"/>
  <c r="G86" i="27"/>
  <c r="G88" i="25"/>
  <c r="G87" i="27"/>
  <c r="G89" i="25"/>
  <c r="F88" i="27"/>
  <c r="G88" i="27"/>
  <c r="G90" i="25"/>
  <c r="F89" i="27"/>
  <c r="G89" i="27"/>
  <c r="G91" i="25"/>
  <c r="G90" i="27"/>
  <c r="G92" i="25"/>
  <c r="G91" i="27"/>
  <c r="G93" i="25"/>
  <c r="G92" i="27"/>
  <c r="G94" i="25"/>
  <c r="G93" i="27"/>
  <c r="G95" i="25"/>
  <c r="G94" i="27"/>
  <c r="G96" i="25"/>
  <c r="G95" i="27"/>
  <c r="F96" i="27"/>
  <c r="G96" i="27"/>
  <c r="G98" i="25"/>
  <c r="F97" i="27"/>
  <c r="G97" i="27"/>
  <c r="G99" i="25"/>
  <c r="G98" i="27"/>
  <c r="G100" i="25"/>
  <c r="G99" i="27"/>
  <c r="G101" i="25"/>
  <c r="G100" i="27"/>
  <c r="G102" i="25"/>
  <c r="G101" i="27"/>
  <c r="G103" i="25"/>
  <c r="G102" i="27"/>
  <c r="G104" i="25"/>
  <c r="G103" i="27"/>
  <c r="G105" i="25"/>
  <c r="F104" i="27"/>
  <c r="G104" i="27"/>
  <c r="G106" i="25"/>
  <c r="G105" i="27"/>
  <c r="G107" i="25"/>
  <c r="G106" i="27"/>
  <c r="G108" i="25"/>
  <c r="F107" i="27"/>
  <c r="G107" i="27"/>
  <c r="G109" i="25"/>
  <c r="G108" i="27"/>
  <c r="G110" i="25"/>
  <c r="G109" i="27"/>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H110" i="27"/>
  <c r="J111" i="25"/>
  <c r="L111" i="25"/>
  <c r="G110" i="5"/>
  <c r="F110" i="5"/>
  <c r="G110" i="23"/>
  <c r="K111" i="25"/>
  <c r="C12" i="24"/>
  <c r="B13" i="20" s="1"/>
  <c r="E12" i="24"/>
  <c r="C13" i="24"/>
  <c r="B14" i="20" s="1"/>
  <c r="E13" i="24"/>
  <c r="C14" i="24"/>
  <c r="B15" i="20" s="1"/>
  <c r="E14" i="24"/>
  <c r="C15" i="24"/>
  <c r="B16" i="20" s="1"/>
  <c r="E15" i="24"/>
  <c r="C16" i="24"/>
  <c r="B17" i="20"/>
  <c r="E16" i="24"/>
  <c r="C17" i="24"/>
  <c r="B18" i="20" s="1"/>
  <c r="C11" i="24"/>
  <c r="I110" i="27"/>
  <c r="I95" i="24"/>
  <c r="I82" i="24"/>
  <c r="I33" i="24"/>
  <c r="A30" i="6"/>
  <c r="D29" i="18"/>
  <c r="D17" i="18"/>
  <c r="N15" i="18"/>
  <c r="I15" i="18"/>
  <c r="M15" i="18" s="1"/>
  <c r="N14" i="18"/>
  <c r="K14" i="18"/>
  <c r="M14" i="18" s="1"/>
  <c r="N13" i="18"/>
  <c r="M13" i="18"/>
  <c r="N12" i="18"/>
  <c r="J12" i="18"/>
  <c r="M12" i="18" s="1"/>
  <c r="C12" i="18"/>
  <c r="A120" i="17"/>
  <c r="R21" i="17" s="1"/>
  <c r="C371" i="14"/>
  <c r="C330" i="14"/>
  <c r="C332" i="14" s="1"/>
  <c r="C322" i="14"/>
  <c r="C324" i="14" s="1"/>
  <c r="C313" i="14"/>
  <c r="C315" i="14" s="1"/>
  <c r="C305" i="14"/>
  <c r="C307" i="14" s="1"/>
  <c r="C259" i="14"/>
  <c r="C217" i="14"/>
  <c r="C200" i="14"/>
  <c r="F178" i="14"/>
  <c r="I169" i="14"/>
  <c r="C147" i="14"/>
  <c r="C119" i="14"/>
  <c r="C116" i="14"/>
  <c r="C74" i="14"/>
  <c r="C71" i="14"/>
  <c r="C51" i="14"/>
  <c r="C48" i="14"/>
  <c r="N73" i="9"/>
  <c r="N57" i="9"/>
  <c r="N55" i="9"/>
  <c r="N44" i="9"/>
  <c r="N16" i="9"/>
  <c r="L11" i="9"/>
  <c r="H75" i="6"/>
  <c r="A32" i="6"/>
  <c r="A31" i="6"/>
  <c r="A29" i="6"/>
  <c r="C28" i="6"/>
  <c r="A28" i="6"/>
  <c r="A27" i="6"/>
  <c r="A26" i="6"/>
  <c r="A25" i="6"/>
  <c r="A24" i="6"/>
  <c r="A23" i="6"/>
  <c r="A22" i="6"/>
  <c r="C21" i="6"/>
  <c r="A21" i="6"/>
  <c r="A20" i="6"/>
  <c r="A19" i="6"/>
  <c r="A18" i="6"/>
  <c r="A17" i="6"/>
  <c r="A16" i="6"/>
  <c r="C15" i="6"/>
  <c r="A15" i="6"/>
  <c r="C14" i="6"/>
  <c r="A14" i="6"/>
  <c r="C13" i="6"/>
  <c r="A13" i="6"/>
  <c r="C12" i="6"/>
  <c r="A12" i="6"/>
  <c r="C11" i="6"/>
  <c r="A11" i="6"/>
  <c r="N104" i="9"/>
  <c r="C50" i="20"/>
  <c r="N92" i="9"/>
  <c r="N58" i="9"/>
  <c r="C63" i="20"/>
  <c r="I53" i="24"/>
  <c r="I74" i="24"/>
  <c r="G111" i="24"/>
  <c r="D18" i="17"/>
  <c r="D20" i="17"/>
  <c r="D22" i="17"/>
  <c r="E39" i="17"/>
  <c r="D39" i="17" s="1"/>
  <c r="F39" i="17" s="1"/>
  <c r="D17" i="17"/>
  <c r="E26" i="17"/>
  <c r="D26" i="17" s="1"/>
  <c r="D19" i="17"/>
  <c r="I19" i="17" s="1"/>
  <c r="J19" i="17" s="1"/>
  <c r="D21" i="17"/>
  <c r="D23" i="17"/>
  <c r="E108" i="17"/>
  <c r="D108" i="17" s="1"/>
  <c r="U112" i="17"/>
  <c r="D16" i="17"/>
  <c r="E110" i="23"/>
  <c r="E39" i="31" s="1"/>
  <c r="F24" i="20"/>
  <c r="E110" i="5"/>
  <c r="E38" i="31" s="1"/>
  <c r="F110" i="23"/>
  <c r="M23" i="20"/>
  <c r="H19" i="10"/>
  <c r="I46" i="24"/>
  <c r="I52" i="24"/>
  <c r="I80" i="24"/>
  <c r="I96" i="24"/>
  <c r="I21" i="17"/>
  <c r="I22" i="17"/>
  <c r="J22" i="17" s="1"/>
  <c r="I110" i="24"/>
  <c r="C19" i="6"/>
  <c r="C24" i="6"/>
  <c r="C26" i="6"/>
  <c r="C22" i="6"/>
  <c r="N12" i="9"/>
  <c r="I63" i="24"/>
  <c r="C64" i="20"/>
  <c r="I59" i="24"/>
  <c r="C60" i="20"/>
  <c r="C24" i="20"/>
  <c r="C18" i="20"/>
  <c r="M25" i="20"/>
  <c r="M24" i="20"/>
  <c r="I37" i="24"/>
  <c r="C38" i="20"/>
  <c r="D24" i="17"/>
  <c r="G21" i="20"/>
  <c r="I29" i="24"/>
  <c r="C30" i="20"/>
  <c r="L15" i="20"/>
  <c r="K13" i="27"/>
  <c r="C25" i="20"/>
  <c r="E85" i="20"/>
  <c r="H32" i="23"/>
  <c r="Q34" i="20" s="1"/>
  <c r="C84" i="20"/>
  <c r="I83" i="24"/>
  <c r="B25" i="8"/>
  <c r="I87" i="24"/>
  <c r="C88" i="20"/>
  <c r="I50" i="24"/>
  <c r="C51" i="20"/>
  <c r="E15" i="20"/>
  <c r="G22" i="20"/>
  <c r="E84" i="20"/>
  <c r="S84" i="20" s="1"/>
  <c r="T84" i="20" s="1"/>
  <c r="K14" i="27"/>
  <c r="E35" i="20"/>
  <c r="L14" i="20"/>
  <c r="E19" i="20"/>
  <c r="H16" i="10"/>
  <c r="I51" i="24" l="1"/>
  <c r="C82" i="20"/>
  <c r="E37" i="17"/>
  <c r="D37" i="17" s="1"/>
  <c r="E60" i="17"/>
  <c r="D60" i="17" s="1"/>
  <c r="E67" i="17"/>
  <c r="D67" i="17" s="1"/>
  <c r="F67" i="17" s="1"/>
  <c r="I32" i="24"/>
  <c r="E42" i="17"/>
  <c r="D42" i="17" s="1"/>
  <c r="G42" i="17" s="1"/>
  <c r="E58" i="17"/>
  <c r="D58" i="17" s="1"/>
  <c r="F58" i="17" s="1"/>
  <c r="I66" i="24"/>
  <c r="B26" i="8"/>
  <c r="E97" i="17"/>
  <c r="D97" i="17" s="1"/>
  <c r="E100" i="17"/>
  <c r="D100" i="17" s="1"/>
  <c r="E52" i="17"/>
  <c r="D52" i="17" s="1"/>
  <c r="F52" i="17" s="1"/>
  <c r="I77" i="24"/>
  <c r="E72" i="17"/>
  <c r="D72" i="17" s="1"/>
  <c r="I25" i="24"/>
  <c r="E78" i="17"/>
  <c r="D78" i="17" s="1"/>
  <c r="F78" i="17" s="1"/>
  <c r="E105" i="17"/>
  <c r="D105" i="17" s="1"/>
  <c r="E36" i="17"/>
  <c r="D36" i="17" s="1"/>
  <c r="I69" i="24"/>
  <c r="S64" i="20"/>
  <c r="T64" i="20" s="1"/>
  <c r="E28" i="17"/>
  <c r="D28" i="17" s="1"/>
  <c r="G28" i="17" s="1"/>
  <c r="E70" i="17"/>
  <c r="D70" i="17" s="1"/>
  <c r="E102" i="17"/>
  <c r="D102" i="17" s="1"/>
  <c r="E95" i="17"/>
  <c r="D95" i="17" s="1"/>
  <c r="G95" i="17" s="1"/>
  <c r="I36" i="24"/>
  <c r="B29" i="8"/>
  <c r="E53" i="17"/>
  <c r="D53" i="17" s="1"/>
  <c r="E82" i="17"/>
  <c r="D82" i="17" s="1"/>
  <c r="E83" i="17"/>
  <c r="D83" i="17" s="1"/>
  <c r="E49" i="17"/>
  <c r="D49" i="17" s="1"/>
  <c r="E77" i="17"/>
  <c r="D77" i="17" s="1"/>
  <c r="G77" i="17" s="1"/>
  <c r="E44" i="17"/>
  <c r="D44" i="17" s="1"/>
  <c r="E110" i="17"/>
  <c r="D110" i="17" s="1"/>
  <c r="E73" i="17"/>
  <c r="D73" i="17" s="1"/>
  <c r="E38" i="17"/>
  <c r="D38" i="17" s="1"/>
  <c r="E43" i="17"/>
  <c r="D43" i="17" s="1"/>
  <c r="E91" i="17"/>
  <c r="D91" i="17" s="1"/>
  <c r="F91" i="17" s="1"/>
  <c r="E66" i="17"/>
  <c r="D66" i="17" s="1"/>
  <c r="E32" i="17"/>
  <c r="D32" i="17" s="1"/>
  <c r="E109" i="17"/>
  <c r="D109" i="17" s="1"/>
  <c r="E71" i="17"/>
  <c r="D71" i="17" s="1"/>
  <c r="E41" i="17"/>
  <c r="D41" i="17" s="1"/>
  <c r="E106" i="17"/>
  <c r="D106" i="17" s="1"/>
  <c r="E69" i="17"/>
  <c r="D69" i="17" s="1"/>
  <c r="E35" i="17"/>
  <c r="D35" i="17" s="1"/>
  <c r="G35" i="17" s="1"/>
  <c r="E40" i="17"/>
  <c r="D40" i="17" s="1"/>
  <c r="E87" i="17"/>
  <c r="D87" i="17" s="1"/>
  <c r="G87" i="17" s="1"/>
  <c r="E59" i="17"/>
  <c r="D59" i="17" s="1"/>
  <c r="E30" i="17"/>
  <c r="D30" i="17" s="1"/>
  <c r="I42" i="24"/>
  <c r="I97" i="24"/>
  <c r="S76" i="20"/>
  <c r="T76" i="20" s="1"/>
  <c r="C72" i="20"/>
  <c r="E96" i="17"/>
  <c r="D96" i="17" s="1"/>
  <c r="E93" i="17"/>
  <c r="D93" i="17" s="1"/>
  <c r="F93" i="17" s="1"/>
  <c r="E64" i="17"/>
  <c r="D64" i="17" s="1"/>
  <c r="F64" i="17" s="1"/>
  <c r="E34" i="17"/>
  <c r="D34" i="17" s="1"/>
  <c r="E84" i="17"/>
  <c r="D84" i="17" s="1"/>
  <c r="G84" i="17" s="1"/>
  <c r="E98" i="17"/>
  <c r="D98" i="17" s="1"/>
  <c r="E54" i="17"/>
  <c r="D54" i="17" s="1"/>
  <c r="E101" i="17"/>
  <c r="D101" i="17" s="1"/>
  <c r="G101" i="17" s="1"/>
  <c r="E81" i="17"/>
  <c r="D81" i="17" s="1"/>
  <c r="F81" i="17" s="1"/>
  <c r="E57" i="17"/>
  <c r="D57" i="17" s="1"/>
  <c r="G57" i="17" s="1"/>
  <c r="E27" i="17"/>
  <c r="D27" i="17" s="1"/>
  <c r="F27" i="17" s="1"/>
  <c r="N21" i="25"/>
  <c r="E92" i="17"/>
  <c r="D92" i="17" s="1"/>
  <c r="E89" i="17"/>
  <c r="D89" i="17" s="1"/>
  <c r="E63" i="17"/>
  <c r="D63" i="17" s="1"/>
  <c r="E31" i="17"/>
  <c r="D31" i="17" s="1"/>
  <c r="F31" i="17" s="1"/>
  <c r="E75" i="17"/>
  <c r="D75" i="17" s="1"/>
  <c r="E94" i="17"/>
  <c r="D94" i="17" s="1"/>
  <c r="E50" i="17"/>
  <c r="D50" i="17" s="1"/>
  <c r="E104" i="17"/>
  <c r="D104" i="17" s="1"/>
  <c r="E107" i="17"/>
  <c r="D107" i="17" s="1"/>
  <c r="E79" i="17"/>
  <c r="D79" i="17" s="1"/>
  <c r="E55" i="17"/>
  <c r="D55" i="17" s="1"/>
  <c r="C286" i="14"/>
  <c r="C288" i="14" s="1"/>
  <c r="C290" i="14" s="1"/>
  <c r="I60" i="24"/>
  <c r="O25" i="18"/>
  <c r="F25" i="18" s="1"/>
  <c r="H19" i="6" s="1"/>
  <c r="I19" i="6" s="1"/>
  <c r="E88" i="17"/>
  <c r="D88" i="17" s="1"/>
  <c r="E85" i="17"/>
  <c r="D85" i="17" s="1"/>
  <c r="E62" i="17"/>
  <c r="D62" i="17" s="1"/>
  <c r="E29" i="17"/>
  <c r="D29" i="17" s="1"/>
  <c r="E47" i="17"/>
  <c r="D47" i="17" s="1"/>
  <c r="E90" i="17"/>
  <c r="D90" i="17" s="1"/>
  <c r="F90" i="17" s="1"/>
  <c r="E48" i="17"/>
  <c r="D48" i="17" s="1"/>
  <c r="E65" i="17"/>
  <c r="D65" i="17" s="1"/>
  <c r="F65" i="17" s="1"/>
  <c r="E103" i="17"/>
  <c r="D103" i="17" s="1"/>
  <c r="E74" i="17"/>
  <c r="D74" i="17" s="1"/>
  <c r="E51" i="17"/>
  <c r="D51" i="17" s="1"/>
  <c r="I30" i="24"/>
  <c r="S40" i="20"/>
  <c r="T40" i="20" s="1"/>
  <c r="I26" i="24"/>
  <c r="S15" i="20"/>
  <c r="T15" i="20" s="1"/>
  <c r="E76" i="17"/>
  <c r="D76" i="17" s="1"/>
  <c r="F76" i="17" s="1"/>
  <c r="E80" i="17"/>
  <c r="D80" i="17" s="1"/>
  <c r="E61" i="17"/>
  <c r="D61" i="17" s="1"/>
  <c r="E25" i="17"/>
  <c r="D25" i="17" s="1"/>
  <c r="E33" i="17"/>
  <c r="D33" i="17" s="1"/>
  <c r="E86" i="17"/>
  <c r="D86" i="17" s="1"/>
  <c r="E45" i="17"/>
  <c r="D45" i="17" s="1"/>
  <c r="F45" i="17" s="1"/>
  <c r="E56" i="17"/>
  <c r="D56" i="17" s="1"/>
  <c r="E99" i="17"/>
  <c r="D99" i="17" s="1"/>
  <c r="F99" i="17" s="1"/>
  <c r="E68" i="17"/>
  <c r="D68" i="17" s="1"/>
  <c r="C109" i="20"/>
  <c r="F17" i="20"/>
  <c r="H104" i="23"/>
  <c r="Q106" i="20" s="1"/>
  <c r="C40" i="18"/>
  <c r="C41" i="18" s="1"/>
  <c r="I100" i="24"/>
  <c r="S92" i="20"/>
  <c r="T92" i="20" s="1"/>
  <c r="E26" i="8"/>
  <c r="I39" i="6"/>
  <c r="C74" i="20"/>
  <c r="S47" i="20"/>
  <c r="T47" i="20" s="1"/>
  <c r="S59" i="20"/>
  <c r="T59" i="20" s="1"/>
  <c r="N12" i="25"/>
  <c r="N15" i="25"/>
  <c r="S19" i="20"/>
  <c r="T19" i="20" s="1"/>
  <c r="O15" i="18"/>
  <c r="F15" i="18" s="1"/>
  <c r="N14" i="25"/>
  <c r="C71" i="20"/>
  <c r="I40" i="24"/>
  <c r="C35" i="20"/>
  <c r="E14" i="20"/>
  <c r="S14" i="20" s="1"/>
  <c r="T14" i="20" s="1"/>
  <c r="N13" i="25"/>
  <c r="I64" i="24"/>
  <c r="C85" i="20"/>
  <c r="S70" i="20"/>
  <c r="T70" i="20" s="1"/>
  <c r="C80" i="20"/>
  <c r="S100" i="20"/>
  <c r="T100" i="20" s="1"/>
  <c r="B22" i="8"/>
  <c r="B23" i="8" s="1"/>
  <c r="S81" i="20"/>
  <c r="T81" i="20" s="1"/>
  <c r="N26" i="25"/>
  <c r="S66" i="20"/>
  <c r="T66" i="20" s="1"/>
  <c r="S48" i="20"/>
  <c r="T48" i="20" s="1"/>
  <c r="S109" i="20"/>
  <c r="T109" i="20" s="1"/>
  <c r="M74" i="20"/>
  <c r="E16" i="20"/>
  <c r="I35" i="24"/>
  <c r="I86" i="24"/>
  <c r="I43" i="24"/>
  <c r="O13" i="18"/>
  <c r="I28" i="24"/>
  <c r="O26" i="18"/>
  <c r="F26" i="18" s="1"/>
  <c r="H20" i="6" s="1"/>
  <c r="I20" i="6" s="1"/>
  <c r="F18" i="20"/>
  <c r="N17" i="25"/>
  <c r="I47" i="6"/>
  <c r="N11" i="25"/>
  <c r="S88" i="20"/>
  <c r="T88" i="20" s="1"/>
  <c r="L13" i="20"/>
  <c r="I90" i="24"/>
  <c r="I107" i="24"/>
  <c r="I57" i="24"/>
  <c r="N18" i="25"/>
  <c r="M58" i="20"/>
  <c r="G101" i="20"/>
  <c r="G26" i="20"/>
  <c r="N35" i="25"/>
  <c r="K72" i="27"/>
  <c r="K56" i="27"/>
  <c r="K104" i="27"/>
  <c r="K96" i="27"/>
  <c r="K97" i="27"/>
  <c r="M50" i="20"/>
  <c r="S96" i="20"/>
  <c r="T96" i="20" s="1"/>
  <c r="I75" i="24"/>
  <c r="D26" i="27"/>
  <c r="D30" i="27"/>
  <c r="D34" i="27"/>
  <c r="D38" i="27"/>
  <c r="D42" i="27"/>
  <c r="D46" i="27"/>
  <c r="D50" i="27"/>
  <c r="D54" i="27"/>
  <c r="D58" i="27"/>
  <c r="D62" i="27"/>
  <c r="D66" i="27"/>
  <c r="D70" i="27"/>
  <c r="D74" i="27"/>
  <c r="D78" i="27"/>
  <c r="D82" i="27"/>
  <c r="D86" i="27"/>
  <c r="D90" i="27"/>
  <c r="D94" i="27"/>
  <c r="D98" i="27"/>
  <c r="D102" i="27"/>
  <c r="D106" i="27"/>
  <c r="F109" i="27"/>
  <c r="F38" i="27"/>
  <c r="F42" i="27"/>
  <c r="F46" i="27"/>
  <c r="F50" i="27"/>
  <c r="F54" i="27"/>
  <c r="F58" i="27"/>
  <c r="F62" i="27"/>
  <c r="F66" i="27"/>
  <c r="F70" i="27"/>
  <c r="F75" i="27"/>
  <c r="F79" i="27"/>
  <c r="F83" i="27"/>
  <c r="F87" i="27"/>
  <c r="F91" i="27"/>
  <c r="F95" i="27"/>
  <c r="F99" i="27"/>
  <c r="F103" i="27"/>
  <c r="F106" i="27"/>
  <c r="D27" i="27"/>
  <c r="D31" i="27"/>
  <c r="D35" i="27"/>
  <c r="D39" i="27"/>
  <c r="K39" i="27" s="1"/>
  <c r="D43" i="27"/>
  <c r="D47" i="27"/>
  <c r="K47" i="27" s="1"/>
  <c r="D51" i="27"/>
  <c r="D55" i="27"/>
  <c r="K55" i="27" s="1"/>
  <c r="D59" i="27"/>
  <c r="D63" i="27"/>
  <c r="K63" i="27" s="1"/>
  <c r="D67" i="27"/>
  <c r="D71" i="27"/>
  <c r="K71" i="27" s="1"/>
  <c r="D75" i="27"/>
  <c r="D79" i="27"/>
  <c r="D83" i="27"/>
  <c r="D87" i="27"/>
  <c r="D91" i="27"/>
  <c r="D95" i="27"/>
  <c r="D99" i="27"/>
  <c r="D103" i="27"/>
  <c r="D107" i="27"/>
  <c r="K107" i="27" s="1"/>
  <c r="F24" i="27"/>
  <c r="K24" i="27" s="1"/>
  <c r="F37" i="27"/>
  <c r="F41" i="27"/>
  <c r="M43" i="20" s="1"/>
  <c r="F45" i="27"/>
  <c r="F49" i="27"/>
  <c r="M51" i="20" s="1"/>
  <c r="F53" i="27"/>
  <c r="F57" i="27"/>
  <c r="M59" i="20" s="1"/>
  <c r="F61" i="27"/>
  <c r="F65" i="27"/>
  <c r="K65" i="27" s="1"/>
  <c r="F69" i="27"/>
  <c r="F74" i="27"/>
  <c r="F78" i="27"/>
  <c r="F82" i="27"/>
  <c r="F86" i="27"/>
  <c r="F90" i="27"/>
  <c r="F94" i="27"/>
  <c r="F98" i="27"/>
  <c r="F102" i="27"/>
  <c r="C77" i="20"/>
  <c r="F68" i="6"/>
  <c r="I68" i="6" s="1"/>
  <c r="I78" i="6" s="1"/>
  <c r="I109" i="24"/>
  <c r="I56" i="24"/>
  <c r="I54" i="24"/>
  <c r="F108" i="27"/>
  <c r="F100" i="27"/>
  <c r="F92" i="27"/>
  <c r="F84" i="27"/>
  <c r="F76" i="27"/>
  <c r="F67" i="27"/>
  <c r="F59" i="27"/>
  <c r="F51" i="27"/>
  <c r="F43" i="27"/>
  <c r="F35" i="27"/>
  <c r="F34" i="27"/>
  <c r="F33" i="27"/>
  <c r="M35" i="20" s="1"/>
  <c r="F32" i="27"/>
  <c r="M34" i="20" s="1"/>
  <c r="F31" i="27"/>
  <c r="F30" i="27"/>
  <c r="F29" i="27"/>
  <c r="F28" i="27"/>
  <c r="F27" i="27"/>
  <c r="F26" i="27"/>
  <c r="F25" i="27"/>
  <c r="M27" i="20" s="1"/>
  <c r="I98" i="24"/>
  <c r="C99" i="20"/>
  <c r="K10" i="27"/>
  <c r="L12" i="20"/>
  <c r="I111" i="25"/>
  <c r="F105" i="27"/>
  <c r="K105" i="27" s="1"/>
  <c r="S87" i="20"/>
  <c r="T87" i="20" s="1"/>
  <c r="D109" i="27"/>
  <c r="D101" i="27"/>
  <c r="D93" i="27"/>
  <c r="D85" i="27"/>
  <c r="D77" i="27"/>
  <c r="D69" i="27"/>
  <c r="D61" i="27"/>
  <c r="D53" i="27"/>
  <c r="D45" i="27"/>
  <c r="D37" i="27"/>
  <c r="D29" i="27"/>
  <c r="Q12" i="20"/>
  <c r="N22" i="25"/>
  <c r="S111" i="20"/>
  <c r="T111" i="20" s="1"/>
  <c r="S85" i="20"/>
  <c r="T85" i="20" s="1"/>
  <c r="I104" i="24"/>
  <c r="I68" i="24"/>
  <c r="I58" i="24"/>
  <c r="S108" i="20"/>
  <c r="T108" i="20" s="1"/>
  <c r="S61" i="20"/>
  <c r="T61" i="20" s="1"/>
  <c r="S53" i="20"/>
  <c r="T53" i="20" s="1"/>
  <c r="F101" i="27"/>
  <c r="G102" i="20"/>
  <c r="F93" i="27"/>
  <c r="G94" i="20"/>
  <c r="F85" i="27"/>
  <c r="F77" i="27"/>
  <c r="G78" i="20"/>
  <c r="F68" i="27"/>
  <c r="F60" i="27"/>
  <c r="F52" i="27"/>
  <c r="F44" i="27"/>
  <c r="F36" i="27"/>
  <c r="C102" i="20"/>
  <c r="C93" i="20"/>
  <c r="I92" i="24"/>
  <c r="C66" i="20"/>
  <c r="I65" i="24"/>
  <c r="I44" i="24"/>
  <c r="S63" i="20"/>
  <c r="T63" i="20" s="1"/>
  <c r="S52" i="20"/>
  <c r="T52" i="20" s="1"/>
  <c r="D108" i="27"/>
  <c r="D100" i="27"/>
  <c r="D92" i="27"/>
  <c r="D84" i="27"/>
  <c r="D76" i="27"/>
  <c r="D68" i="27"/>
  <c r="D60" i="27"/>
  <c r="D52" i="27"/>
  <c r="D44" i="27"/>
  <c r="D36" i="27"/>
  <c r="D28" i="27"/>
  <c r="H25" i="5"/>
  <c r="O27" i="20" s="1"/>
  <c r="D110" i="5"/>
  <c r="D38" i="31" s="1"/>
  <c r="O21" i="18"/>
  <c r="F21" i="18" s="1"/>
  <c r="H15" i="6" s="1"/>
  <c r="I15" i="6" s="1"/>
  <c r="O17" i="18"/>
  <c r="F17" i="18" s="1"/>
  <c r="H11" i="6" s="1"/>
  <c r="I11" i="6" s="1"/>
  <c r="S89" i="20"/>
  <c r="T89" i="20" s="1"/>
  <c r="S32" i="20"/>
  <c r="T32" i="20" s="1"/>
  <c r="S82" i="20"/>
  <c r="T82" i="20" s="1"/>
  <c r="S62" i="20"/>
  <c r="T62" i="20" s="1"/>
  <c r="S50" i="20"/>
  <c r="T50" i="20" s="1"/>
  <c r="S42" i="20"/>
  <c r="T42" i="20" s="1"/>
  <c r="B26" i="22"/>
  <c r="H55" i="6"/>
  <c r="I55" i="6" s="1"/>
  <c r="O12" i="18"/>
  <c r="O14" i="18"/>
  <c r="F14" i="18" s="1"/>
  <c r="E111" i="24"/>
  <c r="S34" i="20"/>
  <c r="T34" i="20" s="1"/>
  <c r="I51" i="6"/>
  <c r="S79" i="20"/>
  <c r="T79" i="20" s="1"/>
  <c r="S39" i="20"/>
  <c r="T39" i="20" s="1"/>
  <c r="S27" i="20"/>
  <c r="T27" i="20" s="1"/>
  <c r="S94" i="20"/>
  <c r="T94" i="20" s="1"/>
  <c r="S90" i="20"/>
  <c r="T90" i="20" s="1"/>
  <c r="S55" i="20"/>
  <c r="T55" i="20" s="1"/>
  <c r="S43" i="20"/>
  <c r="T43" i="20" s="1"/>
  <c r="S86" i="20"/>
  <c r="T86" i="20" s="1"/>
  <c r="S58" i="20"/>
  <c r="T58" i="20" s="1"/>
  <c r="S106" i="20"/>
  <c r="T106" i="20" s="1"/>
  <c r="E13" i="20"/>
  <c r="S13" i="20" s="1"/>
  <c r="T13" i="20" s="1"/>
  <c r="S78" i="20"/>
  <c r="T78" i="20" s="1"/>
  <c r="S37" i="20"/>
  <c r="T37" i="20" s="1"/>
  <c r="I102" i="24"/>
  <c r="C103" i="20"/>
  <c r="C95" i="20"/>
  <c r="I94" i="24"/>
  <c r="S97" i="20"/>
  <c r="T97" i="20" s="1"/>
  <c r="S21" i="20"/>
  <c r="T21" i="20" s="1"/>
  <c r="R25" i="17"/>
  <c r="R29" i="17"/>
  <c r="R33" i="17"/>
  <c r="R37" i="17"/>
  <c r="R41" i="17"/>
  <c r="R45" i="17"/>
  <c r="R49" i="17"/>
  <c r="R53" i="17"/>
  <c r="R57" i="17"/>
  <c r="R61" i="17"/>
  <c r="R65" i="17"/>
  <c r="R69" i="17"/>
  <c r="R73" i="17"/>
  <c r="R77" i="17"/>
  <c r="R81" i="17"/>
  <c r="O81" i="17" s="1"/>
  <c r="X81" i="17" s="1"/>
  <c r="R85" i="17"/>
  <c r="R89" i="17"/>
  <c r="R93" i="17"/>
  <c r="R97" i="17"/>
  <c r="R101" i="17"/>
  <c r="R105" i="17"/>
  <c r="R109" i="17"/>
  <c r="R32" i="17"/>
  <c r="R40" i="17"/>
  <c r="R48" i="17"/>
  <c r="R56" i="17"/>
  <c r="R60" i="17"/>
  <c r="R68" i="17"/>
  <c r="R76" i="17"/>
  <c r="R84" i="17"/>
  <c r="R92" i="17"/>
  <c r="R100" i="17"/>
  <c r="R108" i="17"/>
  <c r="R26" i="17"/>
  <c r="R30" i="17"/>
  <c r="R34" i="17"/>
  <c r="R38" i="17"/>
  <c r="R42" i="17"/>
  <c r="R46" i="17"/>
  <c r="R50" i="17"/>
  <c r="R54" i="17"/>
  <c r="R58" i="17"/>
  <c r="O58" i="17" s="1"/>
  <c r="X58" i="17" s="1"/>
  <c r="R62" i="17"/>
  <c r="R66" i="17"/>
  <c r="R70" i="17"/>
  <c r="R74" i="17"/>
  <c r="R78" i="17"/>
  <c r="O78" i="17" s="1"/>
  <c r="X78" i="17" s="1"/>
  <c r="R82" i="17"/>
  <c r="R86" i="17"/>
  <c r="R90" i="17"/>
  <c r="R94" i="17"/>
  <c r="R98" i="17"/>
  <c r="R102" i="17"/>
  <c r="R106" i="17"/>
  <c r="R110" i="17"/>
  <c r="R27" i="17"/>
  <c r="O27" i="17" s="1"/>
  <c r="X27" i="17" s="1"/>
  <c r="R31" i="17"/>
  <c r="R35" i="17"/>
  <c r="R39" i="17"/>
  <c r="O39" i="17" s="1"/>
  <c r="X39" i="17" s="1"/>
  <c r="R43" i="17"/>
  <c r="R47" i="17"/>
  <c r="R51" i="17"/>
  <c r="R55" i="17"/>
  <c r="R59" i="17"/>
  <c r="R63" i="17"/>
  <c r="R67" i="17"/>
  <c r="O67" i="17" s="1"/>
  <c r="X67" i="17" s="1"/>
  <c r="R71" i="17"/>
  <c r="O71" i="17" s="1"/>
  <c r="X71" i="17" s="1"/>
  <c r="R75" i="17"/>
  <c r="R79" i="17"/>
  <c r="R83" i="17"/>
  <c r="R87" i="17"/>
  <c r="R91" i="17"/>
  <c r="R95" i="17"/>
  <c r="R99" i="17"/>
  <c r="O99" i="17" s="1"/>
  <c r="X99" i="17" s="1"/>
  <c r="R103" i="17"/>
  <c r="R107" i="17"/>
  <c r="R28" i="17"/>
  <c r="R36" i="17"/>
  <c r="R44" i="17"/>
  <c r="R52" i="17"/>
  <c r="O52" i="17" s="1"/>
  <c r="X52" i="17" s="1"/>
  <c r="R64" i="17"/>
  <c r="O64" i="17" s="1"/>
  <c r="X64" i="17" s="1"/>
  <c r="R72" i="17"/>
  <c r="R80" i="17"/>
  <c r="R88" i="17"/>
  <c r="R96" i="17"/>
  <c r="R104" i="17"/>
  <c r="C40" i="20"/>
  <c r="I39" i="24"/>
  <c r="I27" i="24"/>
  <c r="C28" i="20"/>
  <c r="S36" i="20"/>
  <c r="T36" i="20" s="1"/>
  <c r="K73" i="27"/>
  <c r="M75" i="20"/>
  <c r="I28" i="6"/>
  <c r="C104" i="20"/>
  <c r="I103" i="24"/>
  <c r="I88" i="24"/>
  <c r="C89" i="20"/>
  <c r="I55" i="24"/>
  <c r="C56" i="20"/>
  <c r="C46" i="20"/>
  <c r="I45" i="24"/>
  <c r="I38" i="24"/>
  <c r="C39" i="20"/>
  <c r="S68" i="20"/>
  <c r="T68" i="20" s="1"/>
  <c r="E24" i="20"/>
  <c r="S24" i="20" s="1"/>
  <c r="T24" i="20" s="1"/>
  <c r="N23" i="25"/>
  <c r="R22" i="17"/>
  <c r="C111" i="25"/>
  <c r="E18" i="8"/>
  <c r="I93" i="24"/>
  <c r="C94" i="20"/>
  <c r="C92" i="20"/>
  <c r="I91" i="24"/>
  <c r="I72" i="24"/>
  <c r="C73" i="20"/>
  <c r="C62" i="20"/>
  <c r="I61" i="24"/>
  <c r="E11" i="20"/>
  <c r="S11" i="20" s="1"/>
  <c r="T11" i="20" s="1"/>
  <c r="E12" i="20"/>
  <c r="S71" i="20"/>
  <c r="T71" i="20" s="1"/>
  <c r="S30" i="20"/>
  <c r="T30" i="20" s="1"/>
  <c r="K48" i="27"/>
  <c r="S83" i="20"/>
  <c r="T83" i="20" s="1"/>
  <c r="S57" i="20"/>
  <c r="T57" i="20" s="1"/>
  <c r="S54" i="20"/>
  <c r="T54" i="20" s="1"/>
  <c r="S49" i="20"/>
  <c r="T49" i="20" s="1"/>
  <c r="S45" i="20"/>
  <c r="T45" i="20" s="1"/>
  <c r="M99" i="20"/>
  <c r="I31" i="6"/>
  <c r="C68" i="20"/>
  <c r="C32" i="20"/>
  <c r="I10" i="24"/>
  <c r="S75" i="20"/>
  <c r="T75" i="20" s="1"/>
  <c r="S65" i="20"/>
  <c r="T65" i="20" s="1"/>
  <c r="S51" i="20"/>
  <c r="T51" i="20" s="1"/>
  <c r="S29" i="20"/>
  <c r="T29" i="20" s="1"/>
  <c r="S73" i="20"/>
  <c r="T73" i="20" s="1"/>
  <c r="S41" i="20"/>
  <c r="T41" i="20" s="1"/>
  <c r="M83" i="20"/>
  <c r="S102" i="20"/>
  <c r="T102" i="20" s="1"/>
  <c r="S69" i="20"/>
  <c r="T69" i="20" s="1"/>
  <c r="G36" i="20"/>
  <c r="G32" i="20"/>
  <c r="G28" i="20"/>
  <c r="P87" i="9"/>
  <c r="J86" i="10" s="1"/>
  <c r="B32" i="8"/>
  <c r="B33" i="8" s="1"/>
  <c r="S107" i="20"/>
  <c r="T107" i="20" s="1"/>
  <c r="S105" i="20"/>
  <c r="T105" i="20" s="1"/>
  <c r="S95" i="20"/>
  <c r="T95" i="20" s="1"/>
  <c r="S93" i="20"/>
  <c r="T93" i="20" s="1"/>
  <c r="S77" i="20"/>
  <c r="T77" i="20" s="1"/>
  <c r="S74" i="20"/>
  <c r="T74" i="20" s="1"/>
  <c r="S72" i="20"/>
  <c r="T72" i="20" s="1"/>
  <c r="S56" i="20"/>
  <c r="T56" i="20" s="1"/>
  <c r="S28" i="20"/>
  <c r="T28" i="20" s="1"/>
  <c r="S20" i="20"/>
  <c r="T20" i="20" s="1"/>
  <c r="M66" i="20"/>
  <c r="H109" i="23"/>
  <c r="Q111" i="20" s="1"/>
  <c r="I43" i="6"/>
  <c r="M107" i="20"/>
  <c r="S67" i="20"/>
  <c r="T67" i="20" s="1"/>
  <c r="E37" i="8"/>
  <c r="E38" i="8" s="1"/>
  <c r="N109" i="25"/>
  <c r="N93" i="25"/>
  <c r="G79" i="20"/>
  <c r="G30" i="20"/>
  <c r="N31" i="25"/>
  <c r="G111" i="20"/>
  <c r="G99" i="20"/>
  <c r="G95" i="20"/>
  <c r="G61" i="20"/>
  <c r="N77" i="25"/>
  <c r="G109" i="20"/>
  <c r="G33" i="20"/>
  <c r="G29" i="20"/>
  <c r="G80" i="20"/>
  <c r="G46" i="20"/>
  <c r="N74" i="25"/>
  <c r="N84" i="25"/>
  <c r="S31" i="20"/>
  <c r="T31" i="20" s="1"/>
  <c r="G97" i="20"/>
  <c r="G89" i="20"/>
  <c r="G110" i="20"/>
  <c r="S110" i="20"/>
  <c r="T110" i="20" s="1"/>
  <c r="S80" i="20"/>
  <c r="T80" i="20" s="1"/>
  <c r="S60" i="20"/>
  <c r="T60" i="20" s="1"/>
  <c r="S35" i="20"/>
  <c r="T35" i="20" s="1"/>
  <c r="S33" i="20"/>
  <c r="T33" i="20" s="1"/>
  <c r="G85" i="20"/>
  <c r="G47" i="20"/>
  <c r="G59" i="20"/>
  <c r="G64" i="20"/>
  <c r="G91" i="20"/>
  <c r="N61" i="25"/>
  <c r="N65" i="25"/>
  <c r="N85" i="25"/>
  <c r="S103" i="20"/>
  <c r="T103" i="20" s="1"/>
  <c r="G106" i="20"/>
  <c r="G104" i="20"/>
  <c r="G98" i="20"/>
  <c r="G96" i="20"/>
  <c r="G88" i="20"/>
  <c r="G62" i="20"/>
  <c r="S101" i="20"/>
  <c r="T101" i="20" s="1"/>
  <c r="S44" i="20"/>
  <c r="T44" i="20" s="1"/>
  <c r="G37" i="20"/>
  <c r="G105" i="20"/>
  <c r="G81" i="20"/>
  <c r="G63" i="20"/>
  <c r="S38" i="20"/>
  <c r="T38" i="20" s="1"/>
  <c r="S23" i="20"/>
  <c r="T23" i="20" s="1"/>
  <c r="G60" i="20"/>
  <c r="G65" i="20"/>
  <c r="G66" i="20"/>
  <c r="G34" i="20"/>
  <c r="G86" i="20"/>
  <c r="N70" i="25"/>
  <c r="N20" i="25"/>
  <c r="F23" i="20"/>
  <c r="N34" i="25"/>
  <c r="F66" i="20"/>
  <c r="F86" i="20"/>
  <c r="N108" i="25"/>
  <c r="N100" i="25"/>
  <c r="N83" i="25"/>
  <c r="N33" i="25"/>
  <c r="N60" i="25"/>
  <c r="N110" i="25"/>
  <c r="N106" i="25"/>
  <c r="N27" i="25"/>
  <c r="F60" i="20"/>
  <c r="N88" i="25"/>
  <c r="N32" i="25"/>
  <c r="F85" i="20"/>
  <c r="N28" i="25"/>
  <c r="F62" i="20"/>
  <c r="F32" i="20"/>
  <c r="N86" i="25"/>
  <c r="N96" i="25"/>
  <c r="N29" i="25"/>
  <c r="N49" i="25"/>
  <c r="N101" i="25"/>
  <c r="F25" i="20"/>
  <c r="O24" i="18"/>
  <c r="F24" i="18" s="1"/>
  <c r="H18" i="6" s="1"/>
  <c r="I18" i="6" s="1"/>
  <c r="P112" i="20"/>
  <c r="B19" i="30" s="1"/>
  <c r="S18" i="20"/>
  <c r="T18" i="20" s="1"/>
  <c r="M111" i="25"/>
  <c r="B25" i="30" s="1"/>
  <c r="N102" i="25"/>
  <c r="N107" i="25"/>
  <c r="G108" i="20"/>
  <c r="P12" i="9"/>
  <c r="P57" i="9"/>
  <c r="J56" i="10" s="1"/>
  <c r="P72" i="9"/>
  <c r="J71" i="10" s="1"/>
  <c r="P103" i="9"/>
  <c r="J102" i="10" s="1"/>
  <c r="P61" i="9"/>
  <c r="J60" i="10" s="1"/>
  <c r="P59" i="9"/>
  <c r="J58" i="10" s="1"/>
  <c r="P17" i="9"/>
  <c r="J16" i="10" s="1"/>
  <c r="P100" i="9"/>
  <c r="J99" i="10" s="1"/>
  <c r="P27" i="9"/>
  <c r="J26" i="10" s="1"/>
  <c r="P13" i="9"/>
  <c r="J12" i="10" s="1"/>
  <c r="P58" i="9"/>
  <c r="J57" i="10" s="1"/>
  <c r="P45" i="9"/>
  <c r="J44" i="10" s="1"/>
  <c r="P106" i="9"/>
  <c r="J105" i="10" s="1"/>
  <c r="P31" i="9"/>
  <c r="J30" i="10" s="1"/>
  <c r="P15" i="9"/>
  <c r="J14" i="10" s="1"/>
  <c r="P89" i="9"/>
  <c r="J88" i="10" s="1"/>
  <c r="P102" i="9"/>
  <c r="J101" i="10" s="1"/>
  <c r="P43" i="9"/>
  <c r="J42" i="10" s="1"/>
  <c r="P94" i="9"/>
  <c r="J93" i="10" s="1"/>
  <c r="P42" i="9"/>
  <c r="J41" i="10" s="1"/>
  <c r="P80" i="9"/>
  <c r="J79" i="10" s="1"/>
  <c r="P95" i="9"/>
  <c r="J94" i="10" s="1"/>
  <c r="P93" i="9"/>
  <c r="J92" i="10" s="1"/>
  <c r="P81" i="9"/>
  <c r="J80" i="10" s="1"/>
  <c r="P110" i="9"/>
  <c r="J109" i="10" s="1"/>
  <c r="P32" i="9"/>
  <c r="J31" i="10" s="1"/>
  <c r="P30" i="9"/>
  <c r="J29" i="10" s="1"/>
  <c r="P26" i="9"/>
  <c r="J25" i="10" s="1"/>
  <c r="P52" i="9"/>
  <c r="J51" i="10" s="1"/>
  <c r="P41" i="9"/>
  <c r="J40" i="10" s="1"/>
  <c r="P109" i="9"/>
  <c r="J108" i="10" s="1"/>
  <c r="P104" i="9"/>
  <c r="J103" i="10" s="1"/>
  <c r="P84" i="9"/>
  <c r="J83" i="10" s="1"/>
  <c r="P97" i="9"/>
  <c r="J96" i="10" s="1"/>
  <c r="P77" i="9"/>
  <c r="J76" i="10" s="1"/>
  <c r="P83" i="9"/>
  <c r="J82" i="10" s="1"/>
  <c r="P39" i="9"/>
  <c r="J38" i="10" s="1"/>
  <c r="P107" i="9"/>
  <c r="J106" i="10" s="1"/>
  <c r="P99" i="9"/>
  <c r="J98" i="10" s="1"/>
  <c r="P63" i="9"/>
  <c r="J62" i="10" s="1"/>
  <c r="P64" i="9"/>
  <c r="J63" i="10" s="1"/>
  <c r="P68" i="9"/>
  <c r="J67" i="10" s="1"/>
  <c r="P50" i="9"/>
  <c r="J49" i="10" s="1"/>
  <c r="P74" i="9"/>
  <c r="J73" i="10" s="1"/>
  <c r="P35" i="9"/>
  <c r="J34" i="10" s="1"/>
  <c r="P75" i="9"/>
  <c r="J74" i="10" s="1"/>
  <c r="P78" i="9"/>
  <c r="J77" i="10" s="1"/>
  <c r="P24" i="9"/>
  <c r="J23" i="10" s="1"/>
  <c r="P21" i="9"/>
  <c r="J20" i="10" s="1"/>
  <c r="P69" i="9"/>
  <c r="J68" i="10" s="1"/>
  <c r="P85" i="9"/>
  <c r="J84" i="10" s="1"/>
  <c r="P18" i="9"/>
  <c r="J17" i="10" s="1"/>
  <c r="P47" i="9"/>
  <c r="J46" i="10" s="1"/>
  <c r="P101" i="9"/>
  <c r="J100" i="10" s="1"/>
  <c r="P96" i="9"/>
  <c r="J95" i="10" s="1"/>
  <c r="P34" i="9"/>
  <c r="J33" i="10" s="1"/>
  <c r="P29" i="9"/>
  <c r="J28" i="10" s="1"/>
  <c r="P73" i="9"/>
  <c r="J72" i="10" s="1"/>
  <c r="P86" i="9"/>
  <c r="J85" i="10" s="1"/>
  <c r="P25" i="9"/>
  <c r="J24" i="10" s="1"/>
  <c r="P55" i="9"/>
  <c r="J54" i="10" s="1"/>
  <c r="P111" i="9"/>
  <c r="J110" i="10" s="1"/>
  <c r="P71" i="9"/>
  <c r="J70" i="10" s="1"/>
  <c r="P56" i="9"/>
  <c r="J55" i="10" s="1"/>
  <c r="P60" i="9"/>
  <c r="J59" i="10" s="1"/>
  <c r="P16" i="9"/>
  <c r="J15" i="10" s="1"/>
  <c r="P53" i="9"/>
  <c r="J52" i="10" s="1"/>
  <c r="P67" i="9"/>
  <c r="J66" i="10" s="1"/>
  <c r="P22" i="9"/>
  <c r="J21" i="10" s="1"/>
  <c r="P65" i="9"/>
  <c r="J64" i="10" s="1"/>
  <c r="P98" i="9"/>
  <c r="J97" i="10" s="1"/>
  <c r="P19" i="9"/>
  <c r="J18" i="10" s="1"/>
  <c r="P108" i="9"/>
  <c r="J107" i="10" s="1"/>
  <c r="P37" i="9"/>
  <c r="J36" i="10" s="1"/>
  <c r="P92" i="9"/>
  <c r="J91" i="10" s="1"/>
  <c r="P82" i="9"/>
  <c r="J81" i="10" s="1"/>
  <c r="P44" i="9"/>
  <c r="J43" i="10" s="1"/>
  <c r="P91" i="9"/>
  <c r="J90" i="10" s="1"/>
  <c r="P49" i="9"/>
  <c r="J48" i="10" s="1"/>
  <c r="P79" i="9"/>
  <c r="J78" i="10" s="1"/>
  <c r="P105" i="9"/>
  <c r="J104" i="10" s="1"/>
  <c r="P20" i="9"/>
  <c r="J19" i="10" s="1"/>
  <c r="P54" i="9"/>
  <c r="J53" i="10" s="1"/>
  <c r="P66" i="9"/>
  <c r="J65" i="10" s="1"/>
  <c r="P90" i="9"/>
  <c r="J89" i="10" s="1"/>
  <c r="P38" i="9"/>
  <c r="J37" i="10" s="1"/>
  <c r="P70" i="9"/>
  <c r="J69" i="10" s="1"/>
  <c r="P23" i="9"/>
  <c r="J22" i="10" s="1"/>
  <c r="P62" i="9"/>
  <c r="J61" i="10" s="1"/>
  <c r="P51" i="9"/>
  <c r="J50" i="10" s="1"/>
  <c r="P14" i="9"/>
  <c r="J13" i="10" s="1"/>
  <c r="P28" i="9"/>
  <c r="J27" i="10" s="1"/>
  <c r="P88" i="9"/>
  <c r="J87" i="10" s="1"/>
  <c r="P36" i="9"/>
  <c r="J35" i="10" s="1"/>
  <c r="P40" i="9"/>
  <c r="J39" i="10" s="1"/>
  <c r="P76" i="9"/>
  <c r="J75" i="10" s="1"/>
  <c r="G110" i="27"/>
  <c r="J110" i="27"/>
  <c r="L76" i="20"/>
  <c r="N89" i="25"/>
  <c r="G90" i="20"/>
  <c r="B12" i="20"/>
  <c r="C111" i="24"/>
  <c r="U11" i="20"/>
  <c r="P48" i="9"/>
  <c r="J47" i="10" s="1"/>
  <c r="F80" i="20"/>
  <c r="N79" i="25"/>
  <c r="M21" i="20"/>
  <c r="W11" i="20"/>
  <c r="X11" i="20" s="1"/>
  <c r="P33" i="9"/>
  <c r="J32" i="10" s="1"/>
  <c r="N75" i="25"/>
  <c r="G76" i="20"/>
  <c r="N105" i="25"/>
  <c r="F12" i="20"/>
  <c r="I41" i="24"/>
  <c r="C42" i="20"/>
  <c r="E28" i="8"/>
  <c r="E29" i="8" s="1"/>
  <c r="E22" i="8"/>
  <c r="I29" i="6"/>
  <c r="P46" i="9"/>
  <c r="J45" i="10" s="1"/>
  <c r="N30" i="25"/>
  <c r="G31" i="20"/>
  <c r="N44" i="25"/>
  <c r="G45" i="20"/>
  <c r="N76" i="25"/>
  <c r="G77" i="20"/>
  <c r="N91" i="25"/>
  <c r="G92" i="20"/>
  <c r="N73" i="25"/>
  <c r="G74" i="20"/>
  <c r="G111" i="25"/>
  <c r="N97" i="25"/>
  <c r="E98" i="20"/>
  <c r="S98" i="20" s="1"/>
  <c r="T98" i="20" s="1"/>
  <c r="N80" i="25"/>
  <c r="G27" i="20"/>
  <c r="G107" i="20"/>
  <c r="K112" i="20"/>
  <c r="B17" i="30" s="1"/>
  <c r="M17" i="20"/>
  <c r="K49" i="27"/>
  <c r="I105" i="24"/>
  <c r="G82" i="20"/>
  <c r="N81" i="25"/>
  <c r="M82" i="20"/>
  <c r="D111" i="25"/>
  <c r="C90" i="20"/>
  <c r="O27" i="18"/>
  <c r="F27" i="18" s="1"/>
  <c r="H21" i="6" s="1"/>
  <c r="I21" i="6" s="1"/>
  <c r="G71" i="20"/>
  <c r="H111" i="24"/>
  <c r="E34" i="31" s="1"/>
  <c r="M22" i="20"/>
  <c r="I32" i="6"/>
  <c r="G84" i="20"/>
  <c r="E99" i="20"/>
  <c r="S99" i="20" s="1"/>
  <c r="T99" i="20" s="1"/>
  <c r="N98" i="25"/>
  <c r="M41" i="20"/>
  <c r="N46" i="25"/>
  <c r="N104" i="25"/>
  <c r="I106" i="24"/>
  <c r="K57" i="27"/>
  <c r="E32" i="8"/>
  <c r="E14" i="8"/>
  <c r="G100" i="20"/>
  <c r="N99" i="25"/>
  <c r="N36" i="25"/>
  <c r="N17" i="20"/>
  <c r="N112" i="20" s="1"/>
  <c r="B18" i="30" s="1"/>
  <c r="C110" i="5"/>
  <c r="K40" i="27"/>
  <c r="M42" i="20"/>
  <c r="G20" i="20"/>
  <c r="M98" i="20"/>
  <c r="C48" i="20"/>
  <c r="S104" i="20"/>
  <c r="T104" i="20" s="1"/>
  <c r="B15" i="22"/>
  <c r="B18" i="22"/>
  <c r="B19" i="22" s="1"/>
  <c r="B36" i="8"/>
  <c r="B37" i="8" s="1"/>
  <c r="B38" i="8" s="1"/>
  <c r="G50" i="20"/>
  <c r="E110" i="27"/>
  <c r="G103" i="20"/>
  <c r="M18" i="20"/>
  <c r="G87" i="20"/>
  <c r="K80" i="27"/>
  <c r="K89" i="27"/>
  <c r="M91" i="20"/>
  <c r="N43" i="25"/>
  <c r="G44" i="20"/>
  <c r="H16" i="23"/>
  <c r="Q18" i="20" s="1"/>
  <c r="C110" i="23"/>
  <c r="G49" i="20"/>
  <c r="K81" i="27"/>
  <c r="D110" i="23"/>
  <c r="D39" i="31" s="1"/>
  <c r="G93" i="20"/>
  <c r="S22" i="20"/>
  <c r="T22" i="20" s="1"/>
  <c r="N94" i="25"/>
  <c r="E111" i="25"/>
  <c r="G23" i="20"/>
  <c r="N103" i="25"/>
  <c r="N92" i="25"/>
  <c r="G25" i="20"/>
  <c r="N56" i="25"/>
  <c r="N19" i="25"/>
  <c r="N95" i="25"/>
  <c r="G18" i="20"/>
  <c r="C100" i="20"/>
  <c r="I99" i="24"/>
  <c r="S46" i="20"/>
  <c r="T46" i="20" s="1"/>
  <c r="M20" i="20"/>
  <c r="H15" i="5"/>
  <c r="C79" i="20"/>
  <c r="I78" i="24"/>
  <c r="N48" i="25"/>
  <c r="K64" i="27"/>
  <c r="M65" i="20"/>
  <c r="M90" i="20"/>
  <c r="K88" i="27"/>
  <c r="I30" i="6"/>
  <c r="I85" i="24"/>
  <c r="E91" i="20"/>
  <c r="S91" i="20" s="1"/>
  <c r="T91" i="20" s="1"/>
  <c r="N90" i="25"/>
  <c r="M18" i="18"/>
  <c r="O18" i="18" s="1"/>
  <c r="F18" i="18" s="1"/>
  <c r="H12" i="6" s="1"/>
  <c r="I12" i="6" s="1"/>
  <c r="N87" i="25"/>
  <c r="M106" i="20"/>
  <c r="N78" i="25"/>
  <c r="N82" i="25"/>
  <c r="G83" i="20"/>
  <c r="N50" i="25"/>
  <c r="G35" i="20"/>
  <c r="G19" i="20"/>
  <c r="F111" i="25"/>
  <c r="G67" i="20"/>
  <c r="G51" i="20"/>
  <c r="G39" i="20"/>
  <c r="N39" i="25"/>
  <c r="N68" i="25"/>
  <c r="N40" i="25"/>
  <c r="G55" i="20"/>
  <c r="N71" i="25"/>
  <c r="G42" i="20"/>
  <c r="N55" i="25"/>
  <c r="N72" i="25"/>
  <c r="N42" i="25"/>
  <c r="G57" i="20"/>
  <c r="N57" i="25"/>
  <c r="F95" i="17"/>
  <c r="G67" i="17"/>
  <c r="G39" i="17"/>
  <c r="F62" i="17"/>
  <c r="G108" i="17"/>
  <c r="F80" i="17"/>
  <c r="F70" i="17"/>
  <c r="O70" i="17" s="1"/>
  <c r="X70" i="17" s="1"/>
  <c r="F61" i="17"/>
  <c r="F37" i="17"/>
  <c r="G100" i="17"/>
  <c r="F102" i="17"/>
  <c r="O102" i="17" s="1"/>
  <c r="X102" i="17" s="1"/>
  <c r="G86" i="17"/>
  <c r="F60" i="17"/>
  <c r="G45" i="17"/>
  <c r="F26" i="17"/>
  <c r="G36" i="17"/>
  <c r="G46" i="17"/>
  <c r="F28" i="17"/>
  <c r="H28" i="17"/>
  <c r="I28" i="17" s="1"/>
  <c r="J28" i="17" s="1"/>
  <c r="F109" i="17"/>
  <c r="F71" i="17"/>
  <c r="G106" i="17"/>
  <c r="F69" i="17"/>
  <c r="G59" i="17"/>
  <c r="G30" i="17"/>
  <c r="G96" i="17"/>
  <c r="F72" i="17"/>
  <c r="G78" i="17"/>
  <c r="G64" i="17"/>
  <c r="F34" i="17"/>
  <c r="F84" i="17"/>
  <c r="H84" i="17"/>
  <c r="I84" i="17" s="1"/>
  <c r="S84" i="17" s="1"/>
  <c r="G98" i="17"/>
  <c r="F42" i="17"/>
  <c r="H42" i="17"/>
  <c r="I42" i="17" s="1"/>
  <c r="S42" i="17" s="1"/>
  <c r="G52" i="17"/>
  <c r="F101" i="17"/>
  <c r="H95" i="17"/>
  <c r="I95" i="17" s="1"/>
  <c r="S95" i="17" s="1"/>
  <c r="G81" i="17"/>
  <c r="H57" i="17"/>
  <c r="I57" i="17" s="1"/>
  <c r="S57" i="17" s="1"/>
  <c r="G27" i="17"/>
  <c r="G88" i="17"/>
  <c r="F47" i="17"/>
  <c r="F48" i="17"/>
  <c r="G65" i="17"/>
  <c r="F40" i="17"/>
  <c r="F74" i="17"/>
  <c r="G51" i="17"/>
  <c r="G92" i="17"/>
  <c r="G49" i="17"/>
  <c r="G89" i="17"/>
  <c r="F77" i="17"/>
  <c r="O77" i="17" s="1"/>
  <c r="X77" i="17" s="1"/>
  <c r="F44" i="17"/>
  <c r="G75" i="17"/>
  <c r="F110" i="17"/>
  <c r="G94" i="17"/>
  <c r="F50" i="17"/>
  <c r="G38" i="17"/>
  <c r="G43" i="17"/>
  <c r="G107" i="17"/>
  <c r="G79" i="17"/>
  <c r="G66" i="17"/>
  <c r="G55" i="17"/>
  <c r="F32" i="17"/>
  <c r="F43" i="17"/>
  <c r="F59" i="17"/>
  <c r="G26" i="17"/>
  <c r="G44" i="17"/>
  <c r="G50" i="17"/>
  <c r="F38" i="17"/>
  <c r="F88" i="17"/>
  <c r="G69" i="17"/>
  <c r="F49" i="17"/>
  <c r="F89" i="17"/>
  <c r="G110" i="17"/>
  <c r="G47" i="17"/>
  <c r="G71" i="17"/>
  <c r="F66" i="17"/>
  <c r="G48" i="17"/>
  <c r="G72" i="17"/>
  <c r="F92" i="17"/>
  <c r="F106" i="17"/>
  <c r="G62" i="17"/>
  <c r="G109" i="17"/>
  <c r="G40" i="17"/>
  <c r="G102" i="17"/>
  <c r="G60" i="17"/>
  <c r="F55" i="17"/>
  <c r="G70" i="17"/>
  <c r="F86" i="17"/>
  <c r="F96" i="17"/>
  <c r="F79" i="17"/>
  <c r="F36" i="17"/>
  <c r="G32" i="17"/>
  <c r="G34" i="17"/>
  <c r="F98" i="17"/>
  <c r="G80" i="17"/>
  <c r="G37" i="17"/>
  <c r="G61" i="17"/>
  <c r="F46" i="17"/>
  <c r="F108" i="17"/>
  <c r="F94" i="17"/>
  <c r="R16" i="17"/>
  <c r="R23" i="17"/>
  <c r="R24" i="17"/>
  <c r="I20" i="17"/>
  <c r="J20" i="17" s="1"/>
  <c r="R19" i="17"/>
  <c r="X19" i="17" s="1"/>
  <c r="Y19" i="17" s="1"/>
  <c r="F19" i="10" s="1"/>
  <c r="R20" i="17"/>
  <c r="I16" i="17"/>
  <c r="G73" i="17"/>
  <c r="F73" i="17"/>
  <c r="H18" i="10"/>
  <c r="G29" i="17"/>
  <c r="G63" i="17"/>
  <c r="F63" i="17"/>
  <c r="G53" i="17"/>
  <c r="F87" i="17"/>
  <c r="F29" i="17"/>
  <c r="G97" i="17"/>
  <c r="F97" i="17"/>
  <c r="F100" i="17"/>
  <c r="F105" i="17"/>
  <c r="G105" i="17"/>
  <c r="G90" i="17"/>
  <c r="G82" i="17"/>
  <c r="F82" i="17"/>
  <c r="F104" i="17"/>
  <c r="G104" i="17"/>
  <c r="G56" i="17"/>
  <c r="F56" i="17"/>
  <c r="G74" i="17"/>
  <c r="R18" i="17"/>
  <c r="F41" i="17"/>
  <c r="G41" i="17"/>
  <c r="F30" i="17"/>
  <c r="F53" i="17"/>
  <c r="F107" i="17"/>
  <c r="F75" i="17"/>
  <c r="G83" i="17"/>
  <c r="F83" i="17"/>
  <c r="F51" i="17"/>
  <c r="G93" i="17"/>
  <c r="G85" i="17"/>
  <c r="F85" i="17"/>
  <c r="F33" i="17"/>
  <c r="G33" i="17"/>
  <c r="G54" i="17"/>
  <c r="F54" i="17"/>
  <c r="F103" i="17"/>
  <c r="G103" i="17"/>
  <c r="G68" i="17"/>
  <c r="F68" i="17"/>
  <c r="H22" i="10"/>
  <c r="T22" i="17"/>
  <c r="V22" i="17" s="1"/>
  <c r="X22" i="17"/>
  <c r="Y22" i="17" s="1"/>
  <c r="F22" i="10" s="1"/>
  <c r="I23" i="17"/>
  <c r="J23" i="17" s="1"/>
  <c r="J21" i="17"/>
  <c r="G58" i="17" l="1"/>
  <c r="G76" i="17"/>
  <c r="H76" i="17" s="1"/>
  <c r="I76" i="17" s="1"/>
  <c r="F57" i="17"/>
  <c r="E112" i="17"/>
  <c r="G99" i="17"/>
  <c r="M36" i="20"/>
  <c r="D113" i="17"/>
  <c r="K84" i="27"/>
  <c r="K74" i="27"/>
  <c r="D112" i="17"/>
  <c r="G91" i="17"/>
  <c r="G31" i="17"/>
  <c r="E111" i="17"/>
  <c r="C17" i="14" s="1"/>
  <c r="O44" i="17"/>
  <c r="X44" i="17" s="1"/>
  <c r="F35" i="17"/>
  <c r="M73" i="20"/>
  <c r="K30" i="27"/>
  <c r="H101" i="17"/>
  <c r="I101" i="17" s="1"/>
  <c r="S101" i="17" s="1"/>
  <c r="K26" i="27"/>
  <c r="M62" i="20"/>
  <c r="M46" i="20"/>
  <c r="K60" i="27"/>
  <c r="K82" i="27"/>
  <c r="K76" i="27"/>
  <c r="K58" i="27"/>
  <c r="M57" i="20"/>
  <c r="K69" i="27"/>
  <c r="M77" i="20"/>
  <c r="B39" i="8"/>
  <c r="K32" i="27"/>
  <c r="O84" i="17"/>
  <c r="X84" i="17" s="1"/>
  <c r="O72" i="17"/>
  <c r="X72" i="17" s="1"/>
  <c r="K44" i="27"/>
  <c r="O26" i="17"/>
  <c r="X26" i="17" s="1"/>
  <c r="K35" i="27"/>
  <c r="M49" i="20"/>
  <c r="M102" i="20"/>
  <c r="O95" i="17"/>
  <c r="X95" i="17" s="1"/>
  <c r="M93" i="20"/>
  <c r="M105" i="20"/>
  <c r="K28" i="27"/>
  <c r="K108" i="27"/>
  <c r="M95" i="20"/>
  <c r="K53" i="27"/>
  <c r="K87" i="27"/>
  <c r="K109" i="27"/>
  <c r="M86" i="20"/>
  <c r="O28" i="17"/>
  <c r="X28" i="17" s="1"/>
  <c r="Y28" i="17" s="1"/>
  <c r="F28" i="10" s="1"/>
  <c r="M37" i="20"/>
  <c r="M104" i="20"/>
  <c r="K37" i="27"/>
  <c r="B28" i="22"/>
  <c r="F12" i="24" s="1"/>
  <c r="B27" i="22"/>
  <c r="K67" i="27"/>
  <c r="M69" i="20"/>
  <c r="K92" i="27"/>
  <c r="K68" i="27"/>
  <c r="K29" i="27"/>
  <c r="M53" i="20"/>
  <c r="M61" i="20"/>
  <c r="K43" i="27"/>
  <c r="K27" i="27"/>
  <c r="M97" i="20"/>
  <c r="M92" i="20"/>
  <c r="M76" i="20"/>
  <c r="K42" i="27"/>
  <c r="K77" i="27"/>
  <c r="M78" i="20"/>
  <c r="K101" i="27"/>
  <c r="M55" i="20"/>
  <c r="M87" i="20"/>
  <c r="K34" i="27"/>
  <c r="K103" i="27"/>
  <c r="M89" i="20"/>
  <c r="K102" i="27"/>
  <c r="M88" i="20"/>
  <c r="M56" i="20"/>
  <c r="K38" i="27"/>
  <c r="L112" i="20"/>
  <c r="K75" i="27"/>
  <c r="K91" i="27"/>
  <c r="K86" i="27"/>
  <c r="K85" i="27"/>
  <c r="K25" i="27"/>
  <c r="M109" i="20"/>
  <c r="M31" i="20"/>
  <c r="M63" i="20"/>
  <c r="K93" i="27"/>
  <c r="M29" i="20"/>
  <c r="K61" i="27"/>
  <c r="M110" i="20"/>
  <c r="M71" i="20"/>
  <c r="K100" i="27"/>
  <c r="K98" i="27"/>
  <c r="M84" i="20"/>
  <c r="K31" i="27"/>
  <c r="K99" i="27"/>
  <c r="M85" i="20"/>
  <c r="K66" i="27"/>
  <c r="K50" i="27"/>
  <c r="M96" i="20"/>
  <c r="M80" i="20"/>
  <c r="M64" i="20"/>
  <c r="K46" i="27"/>
  <c r="M32" i="20"/>
  <c r="K41" i="27"/>
  <c r="K94" i="27"/>
  <c r="M94" i="20"/>
  <c r="M111" i="20"/>
  <c r="I58" i="6"/>
  <c r="O109" i="17"/>
  <c r="X109" i="17" s="1"/>
  <c r="O62" i="17"/>
  <c r="X62" i="17" s="1"/>
  <c r="K51" i="27"/>
  <c r="M47" i="20"/>
  <c r="K45" i="27"/>
  <c r="K79" i="27"/>
  <c r="M81" i="20"/>
  <c r="O110" i="17"/>
  <c r="X110" i="17" s="1"/>
  <c r="M67" i="20"/>
  <c r="K33" i="27"/>
  <c r="M79" i="20"/>
  <c r="F110" i="27"/>
  <c r="E37" i="31" s="1"/>
  <c r="K78" i="27"/>
  <c r="M38" i="20"/>
  <c r="K36" i="27"/>
  <c r="K59" i="27"/>
  <c r="K95" i="27"/>
  <c r="M48" i="20"/>
  <c r="M108" i="20"/>
  <c r="K106" i="27"/>
  <c r="M28" i="20"/>
  <c r="O42" i="17"/>
  <c r="X42" i="17" s="1"/>
  <c r="O35" i="17"/>
  <c r="X35" i="17" s="1"/>
  <c r="O80" i="17"/>
  <c r="X80" i="17" s="1"/>
  <c r="M100" i="20"/>
  <c r="M30" i="20"/>
  <c r="M33" i="20"/>
  <c r="M26" i="20"/>
  <c r="K83" i="27"/>
  <c r="M52" i="20"/>
  <c r="H110" i="23"/>
  <c r="B39" i="30" s="1"/>
  <c r="K90" i="27"/>
  <c r="M60" i="20"/>
  <c r="M44" i="20"/>
  <c r="K70" i="27"/>
  <c r="M72" i="20"/>
  <c r="D110" i="27"/>
  <c r="O32" i="17"/>
  <c r="X32" i="17" s="1"/>
  <c r="O47" i="17"/>
  <c r="X47" i="17" s="1"/>
  <c r="O57" i="17"/>
  <c r="X57" i="17" s="1"/>
  <c r="M101" i="20"/>
  <c r="M45" i="20"/>
  <c r="K62" i="27"/>
  <c r="K52" i="27"/>
  <c r="M54" i="20"/>
  <c r="M70" i="20"/>
  <c r="M103" i="20"/>
  <c r="M39" i="20"/>
  <c r="K54" i="27"/>
  <c r="M40" i="20"/>
  <c r="M68" i="20"/>
  <c r="O50" i="17"/>
  <c r="X50" i="17" s="1"/>
  <c r="O101" i="17"/>
  <c r="X101" i="17" s="1"/>
  <c r="Q112" i="20"/>
  <c r="C112" i="20"/>
  <c r="L95" i="17"/>
  <c r="L28" i="17"/>
  <c r="O40" i="17"/>
  <c r="X40" i="17" s="1"/>
  <c r="O37" i="17"/>
  <c r="X37" i="17" s="1"/>
  <c r="L84" i="17"/>
  <c r="L57" i="17"/>
  <c r="E33" i="8"/>
  <c r="L42" i="17"/>
  <c r="N66" i="25"/>
  <c r="G40" i="20"/>
  <c r="N45" i="25"/>
  <c r="G69" i="20"/>
  <c r="N64" i="25"/>
  <c r="C25" i="31"/>
  <c r="H111" i="25"/>
  <c r="C35" i="31" s="1"/>
  <c r="G75" i="20"/>
  <c r="N38" i="25"/>
  <c r="G41" i="20"/>
  <c r="N63" i="25"/>
  <c r="N59" i="25"/>
  <c r="G43" i="20"/>
  <c r="E112" i="20"/>
  <c r="B15" i="30" s="1"/>
  <c r="N62" i="25"/>
  <c r="G73" i="20"/>
  <c r="G120" i="25"/>
  <c r="N41" i="25"/>
  <c r="G56" i="20"/>
  <c r="N47" i="25"/>
  <c r="G48" i="20"/>
  <c r="N58" i="25"/>
  <c r="F112" i="20"/>
  <c r="S28" i="17"/>
  <c r="G52" i="20"/>
  <c r="N51" i="25"/>
  <c r="B112" i="20"/>
  <c r="B14" i="30" s="1"/>
  <c r="S12" i="20"/>
  <c r="T12" i="20" s="1"/>
  <c r="G70" i="20"/>
  <c r="N69" i="25"/>
  <c r="N54" i="25"/>
  <c r="G38" i="20"/>
  <c r="J11" i="10"/>
  <c r="J111" i="10" s="1"/>
  <c r="E13" i="30" s="1"/>
  <c r="G13" i="30" s="1"/>
  <c r="H13" i="30" s="1"/>
  <c r="P112" i="9"/>
  <c r="N53" i="25"/>
  <c r="G54" i="20"/>
  <c r="G68" i="20"/>
  <c r="N67" i="25"/>
  <c r="E23" i="8"/>
  <c r="V11" i="20"/>
  <c r="Y11" i="20" s="1"/>
  <c r="C24" i="31"/>
  <c r="B24" i="30"/>
  <c r="H110" i="5"/>
  <c r="O17" i="20"/>
  <c r="O112" i="20" s="1"/>
  <c r="G53" i="20"/>
  <c r="N52" i="25"/>
  <c r="N37" i="25"/>
  <c r="G72" i="20"/>
  <c r="G58" i="20"/>
  <c r="C27" i="31"/>
  <c r="B27" i="30"/>
  <c r="S17" i="20"/>
  <c r="T17" i="20" s="1"/>
  <c r="T64" i="17"/>
  <c r="T81" i="17"/>
  <c r="T39" i="17"/>
  <c r="T70" i="17"/>
  <c r="T95" i="17"/>
  <c r="T58" i="17"/>
  <c r="T78" i="17"/>
  <c r="T71" i="17"/>
  <c r="T44" i="17"/>
  <c r="T27" i="17"/>
  <c r="T52" i="17"/>
  <c r="T77" i="17"/>
  <c r="T84" i="17"/>
  <c r="T102" i="17"/>
  <c r="T67" i="17"/>
  <c r="T57" i="17"/>
  <c r="T99" i="17"/>
  <c r="H30" i="17"/>
  <c r="I30" i="17" s="1"/>
  <c r="J30" i="17" s="1"/>
  <c r="H69" i="17"/>
  <c r="I69" i="17" s="1"/>
  <c r="S69" i="17" s="1"/>
  <c r="H89" i="17"/>
  <c r="I89" i="17" s="1"/>
  <c r="S89" i="17" s="1"/>
  <c r="H94" i="17"/>
  <c r="I94" i="17" s="1"/>
  <c r="J94" i="17" s="1"/>
  <c r="H92" i="17"/>
  <c r="I92" i="17" s="1"/>
  <c r="S92" i="17" s="1"/>
  <c r="H81" i="17"/>
  <c r="I81" i="17" s="1"/>
  <c r="S81" i="17" s="1"/>
  <c r="H78" i="17"/>
  <c r="I78" i="17" s="1"/>
  <c r="J78" i="17" s="1"/>
  <c r="Y78" i="17" s="1"/>
  <c r="F78" i="10" s="1"/>
  <c r="H91" i="17"/>
  <c r="I91" i="17" s="1"/>
  <c r="J91" i="17" s="1"/>
  <c r="H46" i="17"/>
  <c r="I46" i="17" s="1"/>
  <c r="S46" i="17" s="1"/>
  <c r="H66" i="17"/>
  <c r="I66" i="17" s="1"/>
  <c r="L66" i="17" s="1"/>
  <c r="H43" i="17"/>
  <c r="I43" i="17" s="1"/>
  <c r="S43" i="17" s="1"/>
  <c r="H36" i="17"/>
  <c r="I36" i="17" s="1"/>
  <c r="S36" i="17" s="1"/>
  <c r="H86" i="17"/>
  <c r="I86" i="17" s="1"/>
  <c r="J86" i="17" s="1"/>
  <c r="H39" i="17"/>
  <c r="I39" i="17" s="1"/>
  <c r="L39" i="17" s="1"/>
  <c r="AB84" i="17"/>
  <c r="AC84" i="17" s="1"/>
  <c r="H84" i="10" s="1"/>
  <c r="H87" i="17"/>
  <c r="I87" i="17" s="1"/>
  <c r="S87" i="17" s="1"/>
  <c r="H29" i="17"/>
  <c r="I29" i="17" s="1"/>
  <c r="J29" i="17" s="1"/>
  <c r="H65" i="17"/>
  <c r="I65" i="17" s="1"/>
  <c r="J65" i="17" s="1"/>
  <c r="H97" i="17"/>
  <c r="I97" i="17" s="1"/>
  <c r="S97" i="17" s="1"/>
  <c r="H53" i="17"/>
  <c r="I53" i="17" s="1"/>
  <c r="S53" i="17" s="1"/>
  <c r="H50" i="17"/>
  <c r="I50" i="17" s="1"/>
  <c r="S50" i="17" s="1"/>
  <c r="H55" i="17"/>
  <c r="I55" i="17" s="1"/>
  <c r="S55" i="17" s="1"/>
  <c r="H31" i="17"/>
  <c r="I31" i="17" s="1"/>
  <c r="S31" i="17" s="1"/>
  <c r="H48" i="17"/>
  <c r="H27" i="17"/>
  <c r="I27" i="17" s="1"/>
  <c r="J27" i="17" s="1"/>
  <c r="H67" i="17"/>
  <c r="I67" i="17" s="1"/>
  <c r="S67" i="17" s="1"/>
  <c r="H100" i="17"/>
  <c r="I100" i="17" s="1"/>
  <c r="J100" i="17" s="1"/>
  <c r="H56" i="17"/>
  <c r="I56" i="17" s="1"/>
  <c r="S56" i="17" s="1"/>
  <c r="H82" i="17"/>
  <c r="I82" i="17" s="1"/>
  <c r="S82" i="17" s="1"/>
  <c r="H71" i="17"/>
  <c r="I71" i="17" s="1"/>
  <c r="S71" i="17" s="1"/>
  <c r="H44" i="17"/>
  <c r="I44" i="17" s="1"/>
  <c r="J44" i="17" s="1"/>
  <c r="Y44" i="17" s="1"/>
  <c r="F44" i="10" s="1"/>
  <c r="H40" i="17"/>
  <c r="I40" i="17" s="1"/>
  <c r="S40" i="17" s="1"/>
  <c r="H34" i="17"/>
  <c r="I34" i="17" s="1"/>
  <c r="S34" i="17" s="1"/>
  <c r="H79" i="17"/>
  <c r="I79" i="17" s="1"/>
  <c r="J79" i="17" s="1"/>
  <c r="H96" i="17"/>
  <c r="I96" i="17" s="1"/>
  <c r="S96" i="17" s="1"/>
  <c r="H83" i="17"/>
  <c r="I83" i="17" s="1"/>
  <c r="J83" i="17" s="1"/>
  <c r="H104" i="17"/>
  <c r="I104" i="17" s="1"/>
  <c r="S104" i="17" s="1"/>
  <c r="H90" i="17"/>
  <c r="I90" i="17" s="1"/>
  <c r="S90" i="17" s="1"/>
  <c r="H37" i="17"/>
  <c r="H80" i="17"/>
  <c r="I80" i="17" s="1"/>
  <c r="S80" i="17" s="1"/>
  <c r="H32" i="17"/>
  <c r="I32" i="17" s="1"/>
  <c r="S32" i="17" s="1"/>
  <c r="H107" i="17"/>
  <c r="I107" i="17" s="1"/>
  <c r="S107" i="17" s="1"/>
  <c r="H75" i="17"/>
  <c r="I75" i="17" s="1"/>
  <c r="S75" i="17" s="1"/>
  <c r="H51" i="17"/>
  <c r="I51" i="17" s="1"/>
  <c r="S51" i="17" s="1"/>
  <c r="H52" i="17"/>
  <c r="I52" i="17" s="1"/>
  <c r="S52" i="17" s="1"/>
  <c r="H106" i="17"/>
  <c r="I106" i="17" s="1"/>
  <c r="S106" i="17" s="1"/>
  <c r="H99" i="17"/>
  <c r="I99" i="17" s="1"/>
  <c r="J99" i="17" s="1"/>
  <c r="H45" i="17"/>
  <c r="I45" i="17" s="1"/>
  <c r="S45" i="17" s="1"/>
  <c r="O107" i="17"/>
  <c r="X107" i="17" s="1"/>
  <c r="O104" i="17"/>
  <c r="X104" i="17" s="1"/>
  <c r="O90" i="17"/>
  <c r="X90" i="17" s="1"/>
  <c r="O100" i="17"/>
  <c r="X100" i="17" s="1"/>
  <c r="O63" i="17"/>
  <c r="X63" i="17" s="1"/>
  <c r="O73" i="17"/>
  <c r="X73" i="17" s="1"/>
  <c r="O98" i="17"/>
  <c r="X98" i="17" s="1"/>
  <c r="O36" i="17"/>
  <c r="X36" i="17" s="1"/>
  <c r="O88" i="17"/>
  <c r="X88" i="17" s="1"/>
  <c r="H72" i="17"/>
  <c r="I72" i="17" s="1"/>
  <c r="S72" i="17" s="1"/>
  <c r="H68" i="17"/>
  <c r="I68" i="17" s="1"/>
  <c r="O60" i="17"/>
  <c r="X60" i="17" s="1"/>
  <c r="H70" i="17"/>
  <c r="I70" i="17" s="1"/>
  <c r="L70" i="17" s="1"/>
  <c r="O83" i="17"/>
  <c r="X83" i="17" s="1"/>
  <c r="O53" i="17"/>
  <c r="X53" i="17" s="1"/>
  <c r="O56" i="17"/>
  <c r="X56" i="17" s="1"/>
  <c r="O82" i="17"/>
  <c r="X82" i="17" s="1"/>
  <c r="O97" i="17"/>
  <c r="X97" i="17" s="1"/>
  <c r="O87" i="17"/>
  <c r="X87" i="17" s="1"/>
  <c r="O46" i="17"/>
  <c r="X46" i="17" s="1"/>
  <c r="O45" i="17"/>
  <c r="X45" i="17" s="1"/>
  <c r="O79" i="17"/>
  <c r="X79" i="17" s="1"/>
  <c r="O55" i="17"/>
  <c r="X55" i="17" s="1"/>
  <c r="O91" i="17"/>
  <c r="X91" i="17" s="1"/>
  <c r="O38" i="17"/>
  <c r="X38" i="17" s="1"/>
  <c r="O59" i="17"/>
  <c r="X59" i="17" s="1"/>
  <c r="O48" i="17"/>
  <c r="X48" i="17" s="1"/>
  <c r="H41" i="17"/>
  <c r="I41" i="17" s="1"/>
  <c r="S41" i="17" s="1"/>
  <c r="H54" i="17"/>
  <c r="H105" i="17"/>
  <c r="I105" i="17" s="1"/>
  <c r="J105" i="17" s="1"/>
  <c r="O34" i="17"/>
  <c r="X34" i="17" s="1"/>
  <c r="H103" i="17"/>
  <c r="I103" i="17" s="1"/>
  <c r="S103" i="17" s="1"/>
  <c r="O69" i="17"/>
  <c r="X69" i="17" s="1"/>
  <c r="H33" i="17"/>
  <c r="I33" i="17" s="1"/>
  <c r="S33" i="17" s="1"/>
  <c r="O96" i="17"/>
  <c r="X96" i="17" s="1"/>
  <c r="O106" i="17"/>
  <c r="X106" i="17" s="1"/>
  <c r="O66" i="17"/>
  <c r="X66" i="17" s="1"/>
  <c r="O49" i="17"/>
  <c r="X49" i="17" s="1"/>
  <c r="O65" i="17"/>
  <c r="X65" i="17" s="1"/>
  <c r="H110" i="17"/>
  <c r="H63" i="17"/>
  <c r="I63" i="17" s="1"/>
  <c r="L63" i="17" s="1"/>
  <c r="H74" i="17"/>
  <c r="I74" i="17" s="1"/>
  <c r="H85" i="17"/>
  <c r="I85" i="17" s="1"/>
  <c r="L85" i="17" s="1"/>
  <c r="H35" i="17"/>
  <c r="I35" i="17" s="1"/>
  <c r="J35" i="17" s="1"/>
  <c r="H58" i="17"/>
  <c r="I58" i="17" s="1"/>
  <c r="L58" i="17" s="1"/>
  <c r="H61" i="17"/>
  <c r="O76" i="17"/>
  <c r="X76" i="17" s="1"/>
  <c r="H62" i="17"/>
  <c r="I62" i="17" s="1"/>
  <c r="S62" i="17" s="1"/>
  <c r="O103" i="17"/>
  <c r="X103" i="17" s="1"/>
  <c r="O33" i="17"/>
  <c r="X33" i="17" s="1"/>
  <c r="O93" i="17"/>
  <c r="X93" i="17" s="1"/>
  <c r="O30" i="17"/>
  <c r="X30" i="17" s="1"/>
  <c r="O41" i="17"/>
  <c r="X41" i="17" s="1"/>
  <c r="O105" i="17"/>
  <c r="X105" i="17" s="1"/>
  <c r="O68" i="17"/>
  <c r="X68" i="17" s="1"/>
  <c r="O54" i="17"/>
  <c r="X54" i="17" s="1"/>
  <c r="O85" i="17"/>
  <c r="X85" i="17" s="1"/>
  <c r="O51" i="17"/>
  <c r="X51" i="17" s="1"/>
  <c r="O75" i="17"/>
  <c r="X75" i="17" s="1"/>
  <c r="O31" i="17"/>
  <c r="X31" i="17" s="1"/>
  <c r="O29" i="17"/>
  <c r="X29" i="17" s="1"/>
  <c r="O108" i="17"/>
  <c r="X108" i="17" s="1"/>
  <c r="O86" i="17"/>
  <c r="X86" i="17" s="1"/>
  <c r="O92" i="17"/>
  <c r="X92" i="17" s="1"/>
  <c r="O89" i="17"/>
  <c r="X89" i="17" s="1"/>
  <c r="O43" i="17"/>
  <c r="X43" i="17" s="1"/>
  <c r="H38" i="17"/>
  <c r="I38" i="17" s="1"/>
  <c r="J38" i="17" s="1"/>
  <c r="H73" i="17"/>
  <c r="I73" i="17" s="1"/>
  <c r="S73" i="17" s="1"/>
  <c r="H77" i="17"/>
  <c r="I77" i="17" s="1"/>
  <c r="H49" i="17"/>
  <c r="O74" i="17"/>
  <c r="X74" i="17" s="1"/>
  <c r="H47" i="17"/>
  <c r="I47" i="17" s="1"/>
  <c r="S47" i="17" s="1"/>
  <c r="H88" i="17"/>
  <c r="I88" i="17" s="1"/>
  <c r="S88" i="17" s="1"/>
  <c r="H98" i="17"/>
  <c r="H64" i="17"/>
  <c r="I64" i="17" s="1"/>
  <c r="J64" i="17" s="1"/>
  <c r="H93" i="17"/>
  <c r="I93" i="17" s="1"/>
  <c r="J93" i="17" s="1"/>
  <c r="H59" i="17"/>
  <c r="I59" i="17" s="1"/>
  <c r="S59" i="17" s="1"/>
  <c r="H109" i="17"/>
  <c r="I109" i="17" s="1"/>
  <c r="H26" i="17"/>
  <c r="I26" i="17" s="1"/>
  <c r="S26" i="17" s="1"/>
  <c r="H60" i="17"/>
  <c r="I60" i="17" s="1"/>
  <c r="S60" i="17" s="1"/>
  <c r="H102" i="17"/>
  <c r="I102" i="17" s="1"/>
  <c r="O61" i="17"/>
  <c r="X61" i="17" s="1"/>
  <c r="H108" i="17"/>
  <c r="I108" i="17" s="1"/>
  <c r="J108" i="17" s="1"/>
  <c r="J101" i="17"/>
  <c r="J95" i="17"/>
  <c r="J42" i="17"/>
  <c r="J84" i="17"/>
  <c r="D111" i="17"/>
  <c r="C14" i="14" s="1"/>
  <c r="F25" i="17"/>
  <c r="G25" i="17"/>
  <c r="T20" i="17"/>
  <c r="V20" i="17" s="1"/>
  <c r="X20" i="17"/>
  <c r="Y20" i="17" s="1"/>
  <c r="F20" i="10" s="1"/>
  <c r="T19" i="17"/>
  <c r="V19" i="17" s="1"/>
  <c r="W19" i="17" s="1"/>
  <c r="J16" i="17"/>
  <c r="I18" i="17"/>
  <c r="I24" i="17"/>
  <c r="J24" i="17" s="1"/>
  <c r="J57" i="17"/>
  <c r="F389" i="14"/>
  <c r="C390" i="14" s="1"/>
  <c r="C33" i="14"/>
  <c r="I239" i="14"/>
  <c r="I263" i="14" s="1"/>
  <c r="T23" i="17"/>
  <c r="V23" i="17" s="1"/>
  <c r="X23" i="17"/>
  <c r="Y23" i="17" s="1"/>
  <c r="F23" i="10" s="1"/>
  <c r="W22" i="17"/>
  <c r="T21" i="17"/>
  <c r="V21" i="17" s="1"/>
  <c r="X21" i="17"/>
  <c r="Y21" i="17" s="1"/>
  <c r="F21" i="10" s="1"/>
  <c r="L101" i="17" l="1"/>
  <c r="L46" i="17"/>
  <c r="F16" i="24"/>
  <c r="I16" i="24" s="1"/>
  <c r="T62" i="17"/>
  <c r="T109" i="17"/>
  <c r="T28" i="17"/>
  <c r="V28" i="17" s="1"/>
  <c r="C28" i="10" s="1"/>
  <c r="T72" i="17"/>
  <c r="T35" i="17"/>
  <c r="V35" i="17" s="1"/>
  <c r="C35" i="10" s="1"/>
  <c r="Y35" i="17"/>
  <c r="F35" i="10" s="1"/>
  <c r="T47" i="17"/>
  <c r="Y95" i="17"/>
  <c r="F95" i="10" s="1"/>
  <c r="T80" i="17"/>
  <c r="C37" i="31"/>
  <c r="T50" i="17"/>
  <c r="T26" i="17"/>
  <c r="T42" i="17"/>
  <c r="V42" i="17" s="1"/>
  <c r="C42" i="10" s="1"/>
  <c r="F15" i="24"/>
  <c r="I15" i="24" s="1"/>
  <c r="B37" i="30"/>
  <c r="D37" i="31"/>
  <c r="T110" i="17"/>
  <c r="T37" i="17"/>
  <c r="F120" i="27"/>
  <c r="M112" i="20"/>
  <c r="K110" i="27"/>
  <c r="D27" i="31" s="1"/>
  <c r="L56" i="17"/>
  <c r="T32" i="17"/>
  <c r="L55" i="17"/>
  <c r="L71" i="17"/>
  <c r="L36" i="17"/>
  <c r="L104" i="17"/>
  <c r="L80" i="17"/>
  <c r="T101" i="17"/>
  <c r="V101" i="17" s="1"/>
  <c r="E39" i="8"/>
  <c r="L65" i="17"/>
  <c r="L51" i="17"/>
  <c r="L41" i="17"/>
  <c r="L45" i="17"/>
  <c r="W28" i="17"/>
  <c r="L26" i="17"/>
  <c r="AB58" i="17"/>
  <c r="AC58" i="17" s="1"/>
  <c r="H58" i="10" s="1"/>
  <c r="AB63" i="17"/>
  <c r="AC63" i="17" s="1"/>
  <c r="H63" i="10" s="1"/>
  <c r="S39" i="17"/>
  <c r="L67" i="17"/>
  <c r="L106" i="17"/>
  <c r="L43" i="17"/>
  <c r="L35" i="17"/>
  <c r="L38" i="17"/>
  <c r="L90" i="17"/>
  <c r="L52" i="17"/>
  <c r="AB52" i="17" s="1"/>
  <c r="AC52" i="17" s="1"/>
  <c r="H52" i="10" s="1"/>
  <c r="L92" i="17"/>
  <c r="L53" i="17"/>
  <c r="L72" i="17"/>
  <c r="L29" i="17"/>
  <c r="L59" i="17"/>
  <c r="L60" i="17"/>
  <c r="L83" i="17"/>
  <c r="L64" i="17"/>
  <c r="L31" i="17"/>
  <c r="L77" i="17"/>
  <c r="AB77" i="17" s="1"/>
  <c r="AC77" i="17" s="1"/>
  <c r="H77" i="10" s="1"/>
  <c r="L75" i="17"/>
  <c r="F17" i="24"/>
  <c r="F18" i="24"/>
  <c r="F19" i="24"/>
  <c r="L78" i="17"/>
  <c r="AB70" i="17"/>
  <c r="AC70" i="17" s="1"/>
  <c r="H70" i="10" s="1"/>
  <c r="T40" i="17"/>
  <c r="F14" i="24"/>
  <c r="I14" i="24" s="1"/>
  <c r="S78" i="17"/>
  <c r="L108" i="17"/>
  <c r="L30" i="17"/>
  <c r="AB30" i="17" s="1"/>
  <c r="AC30" i="17" s="1"/>
  <c r="H30" i="10" s="1"/>
  <c r="L109" i="17"/>
  <c r="AB109" i="17" s="1"/>
  <c r="AC109" i="17" s="1"/>
  <c r="H109" i="10" s="1"/>
  <c r="L93" i="17"/>
  <c r="L81" i="17"/>
  <c r="L94" i="17"/>
  <c r="AB94" i="17" s="1"/>
  <c r="AC94" i="17" s="1"/>
  <c r="H94" i="10" s="1"/>
  <c r="L62" i="17"/>
  <c r="L97" i="17"/>
  <c r="L102" i="17"/>
  <c r="AB102" i="17" s="1"/>
  <c r="AC102" i="17" s="1"/>
  <c r="H102" i="10" s="1"/>
  <c r="L87" i="17"/>
  <c r="L89" i="17"/>
  <c r="L103" i="17"/>
  <c r="L47" i="17"/>
  <c r="L69" i="17"/>
  <c r="AB85" i="17"/>
  <c r="AC85" i="17" s="1"/>
  <c r="H85" i="10" s="1"/>
  <c r="F13" i="24"/>
  <c r="D14" i="20" s="1"/>
  <c r="W14" i="20" s="1"/>
  <c r="X14" i="20" s="1"/>
  <c r="F11" i="24"/>
  <c r="I11" i="24" s="1"/>
  <c r="S79" i="17"/>
  <c r="L86" i="17"/>
  <c r="L27" i="17"/>
  <c r="L50" i="17"/>
  <c r="L82" i="17"/>
  <c r="L68" i="17"/>
  <c r="AB68" i="17" s="1"/>
  <c r="AC68" i="17" s="1"/>
  <c r="H68" i="10" s="1"/>
  <c r="L96" i="17"/>
  <c r="L34" i="17"/>
  <c r="AB34" i="17" s="1"/>
  <c r="AC34" i="17" s="1"/>
  <c r="H34" i="10" s="1"/>
  <c r="L99" i="17"/>
  <c r="L88" i="17"/>
  <c r="L107" i="17"/>
  <c r="L40" i="17"/>
  <c r="AB40" i="17" s="1"/>
  <c r="AC40" i="17" s="1"/>
  <c r="H40" i="10" s="1"/>
  <c r="L105" i="17"/>
  <c r="L32" i="17"/>
  <c r="L74" i="17"/>
  <c r="AB74" i="17" s="1"/>
  <c r="AC74" i="17" s="1"/>
  <c r="H74" i="10" s="1"/>
  <c r="L79" i="17"/>
  <c r="L73" i="17"/>
  <c r="L100" i="17"/>
  <c r="L91" i="17"/>
  <c r="L76" i="17"/>
  <c r="AB76" i="17" s="1"/>
  <c r="AC76" i="17" s="1"/>
  <c r="H76" i="10" s="1"/>
  <c r="L33" i="17"/>
  <c r="C39" i="31"/>
  <c r="E35" i="31"/>
  <c r="B35" i="30"/>
  <c r="D35" i="31"/>
  <c r="G112" i="20"/>
  <c r="N111" i="25"/>
  <c r="D25" i="31" s="1"/>
  <c r="L44" i="17"/>
  <c r="S99" i="17"/>
  <c r="S58" i="17"/>
  <c r="S64" i="17"/>
  <c r="S105" i="17"/>
  <c r="S93" i="17"/>
  <c r="S27" i="17"/>
  <c r="S38" i="17"/>
  <c r="S100" i="17"/>
  <c r="S109" i="17"/>
  <c r="S65" i="17"/>
  <c r="S70" i="17"/>
  <c r="S68" i="17"/>
  <c r="S63" i="17"/>
  <c r="S44" i="17"/>
  <c r="S83" i="17"/>
  <c r="S29" i="17"/>
  <c r="S86" i="17"/>
  <c r="S77" i="17"/>
  <c r="S66" i="17"/>
  <c r="S30" i="17"/>
  <c r="S76" i="17"/>
  <c r="S108" i="17"/>
  <c r="S91" i="17"/>
  <c r="S94" i="17"/>
  <c r="S102" i="17"/>
  <c r="S35" i="17"/>
  <c r="S74" i="17"/>
  <c r="S85" i="17"/>
  <c r="O94" i="17"/>
  <c r="X94" i="17" s="1"/>
  <c r="Y94" i="17" s="1"/>
  <c r="F94" i="10" s="1"/>
  <c r="C38" i="31"/>
  <c r="B38" i="30"/>
  <c r="J31" i="17"/>
  <c r="AB42" i="17"/>
  <c r="AC42" i="17" s="1"/>
  <c r="H42" i="10" s="1"/>
  <c r="V99" i="17"/>
  <c r="AB66" i="17"/>
  <c r="AC66" i="17" s="1"/>
  <c r="H66" i="10" s="1"/>
  <c r="AB57" i="17"/>
  <c r="AC57" i="17" s="1"/>
  <c r="H57" i="10" s="1"/>
  <c r="AB95" i="17"/>
  <c r="AC95" i="17" s="1"/>
  <c r="H95" i="10" s="1"/>
  <c r="AB101" i="17"/>
  <c r="AC101" i="17" s="1"/>
  <c r="H101" i="10" s="1"/>
  <c r="D16" i="20"/>
  <c r="W16" i="20" s="1"/>
  <c r="X16" i="20" s="1"/>
  <c r="D13" i="20"/>
  <c r="W13" i="20" s="1"/>
  <c r="X13" i="20" s="1"/>
  <c r="I12" i="24"/>
  <c r="AB28" i="17"/>
  <c r="AC28" i="17" s="1"/>
  <c r="H28" i="10" s="1"/>
  <c r="T29" i="17"/>
  <c r="V29" i="17" s="1"/>
  <c r="AO29" i="17" s="1"/>
  <c r="Y29" i="17"/>
  <c r="F29" i="10" s="1"/>
  <c r="T41" i="17"/>
  <c r="T66" i="17"/>
  <c r="T79" i="17"/>
  <c r="V79" i="17" s="1"/>
  <c r="Y79" i="17"/>
  <c r="F79" i="10" s="1"/>
  <c r="T83" i="17"/>
  <c r="V83" i="17" s="1"/>
  <c r="AO83" i="17" s="1"/>
  <c r="T100" i="17"/>
  <c r="V100" i="17" s="1"/>
  <c r="Y100" i="17"/>
  <c r="F100" i="10" s="1"/>
  <c r="V84" i="17"/>
  <c r="T31" i="17"/>
  <c r="V31" i="17" s="1"/>
  <c r="Y31" i="17"/>
  <c r="F31" i="10" s="1"/>
  <c r="T69" i="17"/>
  <c r="T82" i="17"/>
  <c r="T61" i="17"/>
  <c r="T43" i="17"/>
  <c r="T108" i="17"/>
  <c r="V108" i="17" s="1"/>
  <c r="Y108" i="17"/>
  <c r="F108" i="10" s="1"/>
  <c r="T51" i="17"/>
  <c r="T105" i="17"/>
  <c r="V105" i="17" s="1"/>
  <c r="AO105" i="17" s="1"/>
  <c r="Y105" i="17"/>
  <c r="F105" i="10" s="1"/>
  <c r="T33" i="17"/>
  <c r="T49" i="17"/>
  <c r="T34" i="17"/>
  <c r="T48" i="17"/>
  <c r="T55" i="17"/>
  <c r="T87" i="17"/>
  <c r="T53" i="17"/>
  <c r="T60" i="17"/>
  <c r="T36" i="17"/>
  <c r="T63" i="17"/>
  <c r="T107" i="17"/>
  <c r="T89" i="17"/>
  <c r="V89" i="17" s="1"/>
  <c r="Y89" i="17"/>
  <c r="F89" i="10" s="1"/>
  <c r="T85" i="17"/>
  <c r="T103" i="17"/>
  <c r="T59" i="17"/>
  <c r="T97" i="17"/>
  <c r="T98" i="17"/>
  <c r="T92" i="17"/>
  <c r="T54" i="17"/>
  <c r="T30" i="17"/>
  <c r="V30" i="17" s="1"/>
  <c r="Y30" i="17"/>
  <c r="F30" i="10" s="1"/>
  <c r="T106" i="17"/>
  <c r="T38" i="17"/>
  <c r="V38" i="17" s="1"/>
  <c r="C38" i="10" s="1"/>
  <c r="Y38" i="17"/>
  <c r="F38" i="10" s="1"/>
  <c r="T45" i="17"/>
  <c r="T90" i="17"/>
  <c r="T74" i="17"/>
  <c r="T86" i="17"/>
  <c r="V86" i="17" s="1"/>
  <c r="Y86" i="17"/>
  <c r="F86" i="10" s="1"/>
  <c r="T75" i="17"/>
  <c r="T68" i="17"/>
  <c r="T93" i="17"/>
  <c r="V93" i="17" s="1"/>
  <c r="T76" i="17"/>
  <c r="T65" i="17"/>
  <c r="V65" i="17" s="1"/>
  <c r="T96" i="17"/>
  <c r="T91" i="17"/>
  <c r="V91" i="17" s="1"/>
  <c r="Y91" i="17"/>
  <c r="F91" i="10" s="1"/>
  <c r="T46" i="17"/>
  <c r="T56" i="17"/>
  <c r="T88" i="17"/>
  <c r="T73" i="17"/>
  <c r="T104" i="17"/>
  <c r="V27" i="17"/>
  <c r="V78" i="17"/>
  <c r="Y27" i="17"/>
  <c r="F27" i="10" s="1"/>
  <c r="J89" i="17"/>
  <c r="J66" i="17"/>
  <c r="V44" i="17"/>
  <c r="C44" i="10" s="1"/>
  <c r="J46" i="17"/>
  <c r="J45" i="17"/>
  <c r="Y45" i="17" s="1"/>
  <c r="F45" i="10" s="1"/>
  <c r="J55" i="17"/>
  <c r="V55" i="17" s="1"/>
  <c r="J81" i="17"/>
  <c r="Y81" i="17" s="1"/>
  <c r="F81" i="10" s="1"/>
  <c r="J51" i="17"/>
  <c r="Y65" i="17"/>
  <c r="F65" i="10" s="1"/>
  <c r="J39" i="17"/>
  <c r="J43" i="17"/>
  <c r="Y43" i="17" s="1"/>
  <c r="F43" i="10" s="1"/>
  <c r="J92" i="17"/>
  <c r="Y99" i="17"/>
  <c r="F99" i="10" s="1"/>
  <c r="J50" i="17"/>
  <c r="Y50" i="17" s="1"/>
  <c r="F50" i="10" s="1"/>
  <c r="J80" i="17"/>
  <c r="J60" i="17"/>
  <c r="J104" i="17"/>
  <c r="I49" i="17"/>
  <c r="J32" i="17"/>
  <c r="J40" i="17"/>
  <c r="Y40" i="17" s="1"/>
  <c r="F40" i="10" s="1"/>
  <c r="J97" i="17"/>
  <c r="Y64" i="17"/>
  <c r="F64" i="10" s="1"/>
  <c r="V64" i="17"/>
  <c r="J41" i="17"/>
  <c r="J52" i="17"/>
  <c r="J59" i="17"/>
  <c r="Y59" i="17" s="1"/>
  <c r="F59" i="10" s="1"/>
  <c r="J96" i="17"/>
  <c r="I48" i="17"/>
  <c r="V81" i="17"/>
  <c r="I98" i="17"/>
  <c r="J62" i="17"/>
  <c r="J71" i="17"/>
  <c r="V71" i="17" s="1"/>
  <c r="AO71" i="17" s="1"/>
  <c r="J106" i="17"/>
  <c r="J67" i="17"/>
  <c r="Y67" i="17" s="1"/>
  <c r="F67" i="10" s="1"/>
  <c r="J26" i="17"/>
  <c r="Y26" i="17" s="1"/>
  <c r="F26" i="10" s="1"/>
  <c r="J58" i="17"/>
  <c r="Y58" i="17" s="1"/>
  <c r="F58" i="10" s="1"/>
  <c r="J109" i="17"/>
  <c r="V109" i="17" s="1"/>
  <c r="J85" i="17"/>
  <c r="Y85" i="17" s="1"/>
  <c r="F85" i="10" s="1"/>
  <c r="J63" i="17"/>
  <c r="J68" i="17"/>
  <c r="J76" i="17"/>
  <c r="J102" i="17"/>
  <c r="Y102" i="17" s="1"/>
  <c r="J74" i="17"/>
  <c r="J70" i="17"/>
  <c r="J77" i="17"/>
  <c r="V77" i="17" s="1"/>
  <c r="AO77" i="17" s="1"/>
  <c r="J72" i="17"/>
  <c r="V72" i="17" s="1"/>
  <c r="I110" i="17"/>
  <c r="J36" i="17"/>
  <c r="Y36" i="17" s="1"/>
  <c r="F36" i="10" s="1"/>
  <c r="H25" i="17"/>
  <c r="H111" i="17" s="1"/>
  <c r="C12" i="14" s="1"/>
  <c r="F112" i="17"/>
  <c r="Q112" i="17"/>
  <c r="Y101" i="17"/>
  <c r="F101" i="10" s="1"/>
  <c r="Y42" i="17"/>
  <c r="F42" i="10" s="1"/>
  <c r="J34" i="17"/>
  <c r="Y34" i="17" s="1"/>
  <c r="F34" i="10" s="1"/>
  <c r="V95" i="17"/>
  <c r="J56" i="17"/>
  <c r="Y84" i="17"/>
  <c r="F84" i="10" s="1"/>
  <c r="Y93" i="17"/>
  <c r="F93" i="10" s="1"/>
  <c r="G112" i="17"/>
  <c r="I54" i="17"/>
  <c r="J88" i="17"/>
  <c r="I37" i="17"/>
  <c r="I61" i="17"/>
  <c r="G111" i="17"/>
  <c r="F111" i="17"/>
  <c r="W20" i="17"/>
  <c r="J103" i="17"/>
  <c r="J90" i="17"/>
  <c r="J69" i="17"/>
  <c r="J47" i="17"/>
  <c r="Y47" i="17" s="1"/>
  <c r="F47" i="10" s="1"/>
  <c r="J33" i="17"/>
  <c r="J73" i="17"/>
  <c r="X16" i="17"/>
  <c r="Y16" i="17" s="1"/>
  <c r="F16" i="10" s="1"/>
  <c r="T16" i="17"/>
  <c r="V16" i="17" s="1"/>
  <c r="J18" i="17"/>
  <c r="X18" i="17" s="1"/>
  <c r="Y18" i="17" s="1"/>
  <c r="F18" i="10" s="1"/>
  <c r="Y83" i="17"/>
  <c r="F83" i="10" s="1"/>
  <c r="AK82" i="17"/>
  <c r="AK74" i="17"/>
  <c r="AK89" i="17"/>
  <c r="AK32" i="17"/>
  <c r="AK93" i="17"/>
  <c r="AK107" i="17"/>
  <c r="AK20" i="17"/>
  <c r="AK11" i="17"/>
  <c r="AK81" i="17"/>
  <c r="AK92" i="17"/>
  <c r="AK84" i="17"/>
  <c r="AK64" i="17"/>
  <c r="AK106" i="17"/>
  <c r="AK62" i="17"/>
  <c r="AK65" i="17"/>
  <c r="AK55" i="17"/>
  <c r="AK87" i="17"/>
  <c r="AK85" i="17"/>
  <c r="AK63" i="17"/>
  <c r="AK45" i="17"/>
  <c r="AK17" i="17"/>
  <c r="AK44" i="17"/>
  <c r="AK59" i="17"/>
  <c r="AK58" i="17"/>
  <c r="AK30" i="17"/>
  <c r="AK75" i="17"/>
  <c r="AK77" i="17"/>
  <c r="AK53" i="17"/>
  <c r="AK24" i="17"/>
  <c r="AK21" i="17"/>
  <c r="AK51" i="17"/>
  <c r="AK25" i="17"/>
  <c r="AK33" i="17"/>
  <c r="AK88" i="17"/>
  <c r="AK94" i="17"/>
  <c r="AK49" i="17"/>
  <c r="AK108" i="17"/>
  <c r="AK14" i="17"/>
  <c r="AK23" i="17"/>
  <c r="AK80" i="17"/>
  <c r="AK101" i="17"/>
  <c r="AK70" i="17"/>
  <c r="AK66" i="17"/>
  <c r="AK96" i="17"/>
  <c r="AK76" i="17"/>
  <c r="AK39" i="17"/>
  <c r="AK50" i="17"/>
  <c r="AK37" i="17"/>
  <c r="AK12" i="17"/>
  <c r="AK100" i="17"/>
  <c r="AK98" i="17"/>
  <c r="AK52" i="17"/>
  <c r="AK99" i="17"/>
  <c r="AK90" i="17"/>
  <c r="AK54" i="17"/>
  <c r="AK26" i="17"/>
  <c r="AK97" i="17"/>
  <c r="AK73" i="17"/>
  <c r="AK46" i="17"/>
  <c r="AK67" i="17"/>
  <c r="AK22" i="17"/>
  <c r="AK68" i="17"/>
  <c r="AK27" i="17"/>
  <c r="AK72" i="17"/>
  <c r="AK18" i="17"/>
  <c r="AK41" i="17"/>
  <c r="AK110" i="17"/>
  <c r="AK105" i="17"/>
  <c r="AK91" i="17"/>
  <c r="AK104" i="17"/>
  <c r="AK15" i="17"/>
  <c r="AK79" i="17"/>
  <c r="AK29" i="17"/>
  <c r="AK42" i="17"/>
  <c r="AK61" i="17"/>
  <c r="AK13" i="17"/>
  <c r="AK35" i="17"/>
  <c r="AK57" i="17"/>
  <c r="AK47" i="17"/>
  <c r="AK69" i="17"/>
  <c r="AK19" i="17"/>
  <c r="AK43" i="17"/>
  <c r="AK103" i="17"/>
  <c r="AK86" i="17"/>
  <c r="AK34" i="17"/>
  <c r="AK36" i="17"/>
  <c r="AK56" i="17"/>
  <c r="AK83" i="17"/>
  <c r="AK38" i="17"/>
  <c r="AK28" i="17"/>
  <c r="AK71" i="17"/>
  <c r="AK102" i="17"/>
  <c r="AK40" i="17"/>
  <c r="AK78" i="17"/>
  <c r="AK60" i="17"/>
  <c r="AK48" i="17"/>
  <c r="AK16" i="17"/>
  <c r="AK95" i="17"/>
  <c r="AK109" i="17"/>
  <c r="AK31" i="17"/>
  <c r="T24" i="17"/>
  <c r="V24" i="17" s="1"/>
  <c r="X24" i="17"/>
  <c r="Y24" i="17" s="1"/>
  <c r="F24" i="10" s="1"/>
  <c r="R17" i="17"/>
  <c r="R112" i="17" s="1"/>
  <c r="J107" i="17"/>
  <c r="C265" i="14"/>
  <c r="F268" i="14"/>
  <c r="J53" i="17"/>
  <c r="J75" i="17"/>
  <c r="J87" i="17"/>
  <c r="I17" i="17"/>
  <c r="C56" i="14"/>
  <c r="C35" i="14"/>
  <c r="C37" i="14" s="1"/>
  <c r="C39" i="14" s="1"/>
  <c r="C41" i="14" s="1"/>
  <c r="C43" i="14" s="1"/>
  <c r="Y57" i="17"/>
  <c r="F57" i="10" s="1"/>
  <c r="V57" i="17"/>
  <c r="AO57" i="17" s="1"/>
  <c r="J82" i="17"/>
  <c r="W21" i="17"/>
  <c r="W23" i="17"/>
  <c r="AO28" i="17" l="1"/>
  <c r="D17" i="20"/>
  <c r="I13" i="24"/>
  <c r="C86" i="10"/>
  <c r="C78" i="10"/>
  <c r="C109" i="10"/>
  <c r="C105" i="10"/>
  <c r="C101" i="10"/>
  <c r="C93" i="10"/>
  <c r="C89" i="10"/>
  <c r="C81" i="10"/>
  <c r="C77" i="10"/>
  <c r="C65" i="10"/>
  <c r="C57" i="10"/>
  <c r="C108" i="10"/>
  <c r="C100" i="10"/>
  <c r="C84" i="10"/>
  <c r="C72" i="10"/>
  <c r="C64" i="10"/>
  <c r="C99" i="10"/>
  <c r="C95" i="10"/>
  <c r="C91" i="10"/>
  <c r="C83" i="10"/>
  <c r="C79" i="10"/>
  <c r="C71" i="10"/>
  <c r="C55" i="10"/>
  <c r="F111" i="24"/>
  <c r="D34" i="31" s="1"/>
  <c r="W55" i="17"/>
  <c r="AO55" i="17"/>
  <c r="S37" i="17"/>
  <c r="L37" i="17"/>
  <c r="AO95" i="17"/>
  <c r="S110" i="17"/>
  <c r="L110" i="17"/>
  <c r="AO35" i="17"/>
  <c r="S98" i="17"/>
  <c r="L98" i="17"/>
  <c r="AO64" i="17"/>
  <c r="AO65" i="17"/>
  <c r="AO42" i="17"/>
  <c r="AO38" i="17"/>
  <c r="AO89" i="17"/>
  <c r="W108" i="17"/>
  <c r="AO108" i="17"/>
  <c r="W79" i="17"/>
  <c r="AO79" i="17"/>
  <c r="W101" i="17"/>
  <c r="AO101" i="17"/>
  <c r="D20" i="20"/>
  <c r="I19" i="24"/>
  <c r="S61" i="17"/>
  <c r="L61" i="17"/>
  <c r="C27" i="10"/>
  <c r="AO27" i="17"/>
  <c r="W30" i="17"/>
  <c r="AO30" i="17"/>
  <c r="W99" i="17"/>
  <c r="AO99" i="17"/>
  <c r="AO72" i="17"/>
  <c r="W81" i="17"/>
  <c r="AO81" i="17"/>
  <c r="S49" i="17"/>
  <c r="L49" i="17"/>
  <c r="W100" i="17"/>
  <c r="AO100" i="17"/>
  <c r="D15" i="20"/>
  <c r="W15" i="20" s="1"/>
  <c r="X15" i="20" s="1"/>
  <c r="D19" i="20"/>
  <c r="I18" i="24"/>
  <c r="AO84" i="17"/>
  <c r="S54" i="17"/>
  <c r="L54" i="17"/>
  <c r="V74" i="17"/>
  <c r="AO74" i="17" s="1"/>
  <c r="AO109" i="17"/>
  <c r="S48" i="17"/>
  <c r="L48" i="17"/>
  <c r="AO44" i="17"/>
  <c r="AO78" i="17"/>
  <c r="AO91" i="17"/>
  <c r="W93" i="17"/>
  <c r="AO93" i="17"/>
  <c r="W86" i="17"/>
  <c r="AO86" i="17"/>
  <c r="W31" i="17"/>
  <c r="AO31" i="17"/>
  <c r="D12" i="20"/>
  <c r="W12" i="20" s="1"/>
  <c r="X12" i="20" s="1"/>
  <c r="D18" i="20"/>
  <c r="I17" i="24"/>
  <c r="W27" i="17"/>
  <c r="T94" i="17"/>
  <c r="V94" i="17" s="1"/>
  <c r="C94" i="10" s="1"/>
  <c r="W78" i="17"/>
  <c r="H112" i="17"/>
  <c r="AB80" i="17"/>
  <c r="AC80" i="17" s="1"/>
  <c r="H80" i="10" s="1"/>
  <c r="AB44" i="17"/>
  <c r="AC44" i="17" s="1"/>
  <c r="H44" i="10" s="1"/>
  <c r="AB43" i="17"/>
  <c r="AC43" i="17" s="1"/>
  <c r="H43" i="10" s="1"/>
  <c r="AB92" i="17"/>
  <c r="AC92" i="17" s="1"/>
  <c r="H92" i="10" s="1"/>
  <c r="AB64" i="17"/>
  <c r="AC64" i="17" s="1"/>
  <c r="H64" i="10" s="1"/>
  <c r="AB88" i="17"/>
  <c r="AC88" i="17" s="1"/>
  <c r="H88" i="10" s="1"/>
  <c r="AB32" i="17"/>
  <c r="AC32" i="17" s="1"/>
  <c r="H32" i="10" s="1"/>
  <c r="AB50" i="17"/>
  <c r="AC50" i="17" s="1"/>
  <c r="H50" i="10" s="1"/>
  <c r="AB55" i="17"/>
  <c r="AC55" i="17" s="1"/>
  <c r="H55" i="10" s="1"/>
  <c r="AB97" i="17"/>
  <c r="AC97" i="17" s="1"/>
  <c r="H97" i="10" s="1"/>
  <c r="AB93" i="17"/>
  <c r="AC93" i="17" s="1"/>
  <c r="H93" i="10" s="1"/>
  <c r="AB75" i="17"/>
  <c r="AC75" i="17" s="1"/>
  <c r="H75" i="10" s="1"/>
  <c r="AB91" i="17"/>
  <c r="AC91" i="17" s="1"/>
  <c r="H91" i="10" s="1"/>
  <c r="AB56" i="17"/>
  <c r="AC56" i="17" s="1"/>
  <c r="H56" i="10" s="1"/>
  <c r="AB38" i="17"/>
  <c r="AC38" i="17" s="1"/>
  <c r="H38" i="10" s="1"/>
  <c r="AB82" i="17"/>
  <c r="AC82" i="17" s="1"/>
  <c r="H82" i="10" s="1"/>
  <c r="AB26" i="17"/>
  <c r="AC26" i="17" s="1"/>
  <c r="H26" i="10" s="1"/>
  <c r="AB71" i="17"/>
  <c r="AC71" i="17" s="1"/>
  <c r="H71" i="10" s="1"/>
  <c r="AB53" i="17"/>
  <c r="AC53" i="17" s="1"/>
  <c r="H53" i="10" s="1"/>
  <c r="AB81" i="17"/>
  <c r="AC81" i="17" s="1"/>
  <c r="H81" i="10" s="1"/>
  <c r="AB67" i="17"/>
  <c r="AC67" i="17" s="1"/>
  <c r="H67" i="10" s="1"/>
  <c r="AB46" i="17"/>
  <c r="AC46" i="17" s="1"/>
  <c r="H46" i="10" s="1"/>
  <c r="AB45" i="17"/>
  <c r="AC45" i="17" s="1"/>
  <c r="H45" i="10" s="1"/>
  <c r="AB105" i="17"/>
  <c r="AC105" i="17" s="1"/>
  <c r="H105" i="10" s="1"/>
  <c r="AB104" i="17"/>
  <c r="AC104" i="17" s="1"/>
  <c r="H104" i="10" s="1"/>
  <c r="AB83" i="17"/>
  <c r="AC83" i="17" s="1"/>
  <c r="H83" i="10" s="1"/>
  <c r="AB78" i="17"/>
  <c r="AC78" i="17" s="1"/>
  <c r="H78" i="10" s="1"/>
  <c r="AB103" i="17"/>
  <c r="AC103" i="17" s="1"/>
  <c r="H103" i="10" s="1"/>
  <c r="V106" i="17"/>
  <c r="C106" i="10" s="1"/>
  <c r="AB96" i="17"/>
  <c r="AC96" i="17" s="1"/>
  <c r="H96" i="10" s="1"/>
  <c r="AB35" i="17"/>
  <c r="AC35" i="17" s="1"/>
  <c r="H35" i="10" s="1"/>
  <c r="AB62" i="17"/>
  <c r="AC62" i="17" s="1"/>
  <c r="H62" i="10" s="1"/>
  <c r="AB107" i="17"/>
  <c r="AC107" i="17" s="1"/>
  <c r="H107" i="10" s="1"/>
  <c r="AB27" i="17"/>
  <c r="AC27" i="17" s="1"/>
  <c r="H27" i="10" s="1"/>
  <c r="AB99" i="17"/>
  <c r="AC99" i="17" s="1"/>
  <c r="H99" i="10" s="1"/>
  <c r="AB36" i="17"/>
  <c r="AC36" i="17" s="1"/>
  <c r="H36" i="10" s="1"/>
  <c r="AB72" i="17"/>
  <c r="AC72" i="17" s="1"/>
  <c r="H72" i="10" s="1"/>
  <c r="AB60" i="17"/>
  <c r="AC60" i="17" s="1"/>
  <c r="H60" i="10" s="1"/>
  <c r="AB106" i="17"/>
  <c r="AC106" i="17" s="1"/>
  <c r="H106" i="10" s="1"/>
  <c r="AB100" i="17"/>
  <c r="AC100" i="17" s="1"/>
  <c r="H100" i="10" s="1"/>
  <c r="AB89" i="17"/>
  <c r="AC89" i="17" s="1"/>
  <c r="H89" i="10" s="1"/>
  <c r="W44" i="17"/>
  <c r="AB51" i="17"/>
  <c r="AC51" i="17" s="1"/>
  <c r="H51" i="10" s="1"/>
  <c r="AB41" i="17"/>
  <c r="AC41" i="17" s="1"/>
  <c r="H41" i="10" s="1"/>
  <c r="AB79" i="17"/>
  <c r="AC79" i="17" s="1"/>
  <c r="H79" i="10" s="1"/>
  <c r="AB86" i="17"/>
  <c r="AC86" i="17" s="1"/>
  <c r="H86" i="10" s="1"/>
  <c r="AB31" i="17"/>
  <c r="AC31" i="17" s="1"/>
  <c r="H31" i="10" s="1"/>
  <c r="AB87" i="17"/>
  <c r="AC87" i="17" s="1"/>
  <c r="H87" i="10" s="1"/>
  <c r="AB73" i="17"/>
  <c r="AC73" i="17" s="1"/>
  <c r="H73" i="10" s="1"/>
  <c r="AB33" i="17"/>
  <c r="AC33" i="17" s="1"/>
  <c r="H33" i="10" s="1"/>
  <c r="AB90" i="17"/>
  <c r="AC90" i="17" s="1"/>
  <c r="H90" i="10" s="1"/>
  <c r="AB65" i="17"/>
  <c r="AC65" i="17" s="1"/>
  <c r="H65" i="10" s="1"/>
  <c r="AB59" i="17"/>
  <c r="AC59" i="17" s="1"/>
  <c r="H59" i="10" s="1"/>
  <c r="AB29" i="17"/>
  <c r="AC29" i="17" s="1"/>
  <c r="H29" i="10" s="1"/>
  <c r="W84" i="17"/>
  <c r="AB108" i="17"/>
  <c r="AC108" i="17" s="1"/>
  <c r="H108" i="10" s="1"/>
  <c r="AB47" i="17"/>
  <c r="AC47" i="17" s="1"/>
  <c r="H47" i="10" s="1"/>
  <c r="AB69" i="17"/>
  <c r="AC69" i="17" s="1"/>
  <c r="H69" i="10" s="1"/>
  <c r="AB39" i="17"/>
  <c r="AC39" i="17" s="1"/>
  <c r="H39" i="10" s="1"/>
  <c r="V46" i="17"/>
  <c r="C46" i="10" s="1"/>
  <c r="V103" i="17"/>
  <c r="C103" i="10" s="1"/>
  <c r="Y66" i="17"/>
  <c r="F66" i="10" s="1"/>
  <c r="Y56" i="17"/>
  <c r="F56" i="10" s="1"/>
  <c r="V104" i="17"/>
  <c r="C104" i="10" s="1"/>
  <c r="W42" i="17"/>
  <c r="Y76" i="17"/>
  <c r="F76" i="10" s="1"/>
  <c r="Y60" i="17"/>
  <c r="F60" i="10" s="1"/>
  <c r="Y68" i="17"/>
  <c r="F68" i="10" s="1"/>
  <c r="V51" i="17"/>
  <c r="C51" i="10" s="1"/>
  <c r="V69" i="17"/>
  <c r="C69" i="10" s="1"/>
  <c r="Y63" i="17"/>
  <c r="F63" i="10" s="1"/>
  <c r="Y96" i="17"/>
  <c r="F96" i="10" s="1"/>
  <c r="V41" i="17"/>
  <c r="C41" i="10" s="1"/>
  <c r="Y97" i="17"/>
  <c r="F97" i="10" s="1"/>
  <c r="Y92" i="17"/>
  <c r="F92" i="10" s="1"/>
  <c r="Y46" i="17"/>
  <c r="F46" i="10" s="1"/>
  <c r="I25" i="17"/>
  <c r="J25" i="17" s="1"/>
  <c r="V66" i="17"/>
  <c r="C66" i="10" s="1"/>
  <c r="W65" i="17"/>
  <c r="V45" i="17"/>
  <c r="C45" i="10" s="1"/>
  <c r="Y55" i="17"/>
  <c r="F55" i="10" s="1"/>
  <c r="V92" i="17"/>
  <c r="C92" i="10" s="1"/>
  <c r="Y106" i="17"/>
  <c r="F106" i="10" s="1"/>
  <c r="Y69" i="17"/>
  <c r="F69" i="10" s="1"/>
  <c r="Y51" i="17"/>
  <c r="F51" i="10" s="1"/>
  <c r="C30" i="10"/>
  <c r="V58" i="17"/>
  <c r="C58" i="10" s="1"/>
  <c r="W38" i="17"/>
  <c r="Y72" i="17"/>
  <c r="F72" i="10" s="1"/>
  <c r="V97" i="17"/>
  <c r="C97" i="10" s="1"/>
  <c r="V96" i="17"/>
  <c r="C96" i="10" s="1"/>
  <c r="V67" i="17"/>
  <c r="C67" i="10" s="1"/>
  <c r="Y41" i="17"/>
  <c r="F41" i="10" s="1"/>
  <c r="V43" i="17"/>
  <c r="C43" i="10" s="1"/>
  <c r="J98" i="17"/>
  <c r="J48" i="17"/>
  <c r="Y48" i="17" s="1"/>
  <c r="F48" i="10" s="1"/>
  <c r="W35" i="17"/>
  <c r="V50" i="17"/>
  <c r="C50" i="10" s="1"/>
  <c r="W109" i="17"/>
  <c r="Y71" i="17"/>
  <c r="F71" i="10" s="1"/>
  <c r="J49" i="17"/>
  <c r="V49" i="17" s="1"/>
  <c r="C49" i="10" s="1"/>
  <c r="Y39" i="17"/>
  <c r="F39" i="10" s="1"/>
  <c r="V39" i="17"/>
  <c r="V85" i="17"/>
  <c r="C85" i="10" s="1"/>
  <c r="Y109" i="17"/>
  <c r="F109" i="10" s="1"/>
  <c r="Y77" i="17"/>
  <c r="F77" i="10" s="1"/>
  <c r="Y74" i="17"/>
  <c r="F74" i="10" s="1"/>
  <c r="W91" i="17"/>
  <c r="W72" i="17"/>
  <c r="V68" i="17"/>
  <c r="C68" i="10" s="1"/>
  <c r="V60" i="17"/>
  <c r="AO60" i="17" s="1"/>
  <c r="V102" i="17"/>
  <c r="C102" i="10" s="1"/>
  <c r="V62" i="17"/>
  <c r="AO62" i="17" s="1"/>
  <c r="Y62" i="17"/>
  <c r="F62" i="10" s="1"/>
  <c r="Y104" i="17"/>
  <c r="F104" i="10" s="1"/>
  <c r="V59" i="17"/>
  <c r="AO59" i="17" s="1"/>
  <c r="V32" i="17"/>
  <c r="AO32" i="17" s="1"/>
  <c r="Y32" i="17"/>
  <c r="F32" i="10" s="1"/>
  <c r="V36" i="17"/>
  <c r="C36" i="10" s="1"/>
  <c r="C31" i="10"/>
  <c r="W64" i="17"/>
  <c r="V40" i="17"/>
  <c r="C40" i="10" s="1"/>
  <c r="Y52" i="17"/>
  <c r="F52" i="10" s="1"/>
  <c r="V52" i="17"/>
  <c r="AO52" i="17" s="1"/>
  <c r="Y80" i="17"/>
  <c r="F80" i="10" s="1"/>
  <c r="V80" i="17"/>
  <c r="AO80" i="17" s="1"/>
  <c r="J110" i="17"/>
  <c r="V70" i="17"/>
  <c r="AO70" i="17" s="1"/>
  <c r="Y70" i="17"/>
  <c r="F70" i="10" s="1"/>
  <c r="V26" i="17"/>
  <c r="W89" i="17"/>
  <c r="V76" i="17"/>
  <c r="AO76" i="17" s="1"/>
  <c r="V63" i="17"/>
  <c r="AO63" i="17" s="1"/>
  <c r="AK111" i="17"/>
  <c r="W95" i="17"/>
  <c r="F102" i="10"/>
  <c r="Y103" i="17"/>
  <c r="F103" i="10" s="1"/>
  <c r="V56" i="17"/>
  <c r="C56" i="10" s="1"/>
  <c r="V34" i="17"/>
  <c r="J54" i="17"/>
  <c r="Y88" i="17"/>
  <c r="F88" i="10" s="1"/>
  <c r="V88" i="17"/>
  <c r="AO88" i="17" s="1"/>
  <c r="J61" i="17"/>
  <c r="V61" i="17" s="1"/>
  <c r="AO61" i="17" s="1"/>
  <c r="Q111" i="17"/>
  <c r="O25" i="17"/>
  <c r="X25" i="17" s="1"/>
  <c r="J37" i="17"/>
  <c r="Y90" i="17"/>
  <c r="F90" i="10" s="1"/>
  <c r="V90" i="17"/>
  <c r="AO90" i="17" s="1"/>
  <c r="V47" i="17"/>
  <c r="C47" i="10" s="1"/>
  <c r="W77" i="17"/>
  <c r="V33" i="17"/>
  <c r="AO33" i="17" s="1"/>
  <c r="Y33" i="17"/>
  <c r="F33" i="10" s="1"/>
  <c r="Y73" i="17"/>
  <c r="F73" i="10" s="1"/>
  <c r="V73" i="17"/>
  <c r="AO73" i="17" s="1"/>
  <c r="J17" i="17"/>
  <c r="T18" i="17"/>
  <c r="V18" i="17" s="1"/>
  <c r="W16" i="17"/>
  <c r="F380" i="14"/>
  <c r="C381" i="14" s="1"/>
  <c r="F308" i="14"/>
  <c r="C29" i="10"/>
  <c r="W29" i="17"/>
  <c r="W57" i="17"/>
  <c r="Y87" i="17"/>
  <c r="F87" i="10" s="1"/>
  <c r="V87" i="17"/>
  <c r="AO87" i="17" s="1"/>
  <c r="W71" i="17"/>
  <c r="W24" i="17"/>
  <c r="AK112" i="17"/>
  <c r="V53" i="17"/>
  <c r="AO53" i="17" s="1"/>
  <c r="Y53" i="17"/>
  <c r="F53" i="10" s="1"/>
  <c r="Y82" i="17"/>
  <c r="F82" i="10" s="1"/>
  <c r="V82" i="17"/>
  <c r="AO82" i="17" s="1"/>
  <c r="V75" i="17"/>
  <c r="AO75" i="17" s="1"/>
  <c r="Y75" i="17"/>
  <c r="F75" i="10" s="1"/>
  <c r="C267" i="14"/>
  <c r="C269" i="14" s="1"/>
  <c r="C271" i="14"/>
  <c r="C273" i="14" s="1"/>
  <c r="W83" i="17"/>
  <c r="C79" i="14"/>
  <c r="C81" i="14" s="1"/>
  <c r="C83" i="14" s="1"/>
  <c r="C85" i="14" s="1"/>
  <c r="D21" i="18" s="1"/>
  <c r="C58" i="14"/>
  <c r="C60" i="14" s="1"/>
  <c r="C62" i="14" s="1"/>
  <c r="F51" i="14"/>
  <c r="C53" i="14" s="1"/>
  <c r="C47" i="14"/>
  <c r="C49" i="14" s="1"/>
  <c r="D18" i="18" s="1"/>
  <c r="V107" i="17"/>
  <c r="AO107" i="17" s="1"/>
  <c r="Y107" i="17"/>
  <c r="F107" i="10" s="1"/>
  <c r="W105" i="17"/>
  <c r="C61" i="10" l="1"/>
  <c r="C59" i="10"/>
  <c r="C52" i="10"/>
  <c r="C63" i="10"/>
  <c r="C60" i="10"/>
  <c r="C80" i="10"/>
  <c r="C53" i="10"/>
  <c r="C62" i="10"/>
  <c r="C73" i="10"/>
  <c r="C70" i="10"/>
  <c r="AO39" i="17"/>
  <c r="C39" i="10"/>
  <c r="C75" i="10"/>
  <c r="C76" i="10"/>
  <c r="C74" i="10"/>
  <c r="C82" i="10"/>
  <c r="C87" i="10"/>
  <c r="C88" i="10"/>
  <c r="C90" i="10"/>
  <c r="C107" i="10"/>
  <c r="C34" i="31"/>
  <c r="B34" i="30"/>
  <c r="D112" i="20"/>
  <c r="I111" i="24"/>
  <c r="D24" i="31" s="1"/>
  <c r="W74" i="17"/>
  <c r="AO92" i="17"/>
  <c r="AO66" i="17"/>
  <c r="W69" i="17"/>
  <c r="AO69" i="17"/>
  <c r="C34" i="10"/>
  <c r="AO34" i="17"/>
  <c r="AO36" i="17"/>
  <c r="AO68" i="17"/>
  <c r="W67" i="17"/>
  <c r="AO67" i="17"/>
  <c r="S25" i="17"/>
  <c r="S111" i="17" s="1"/>
  <c r="L25" i="17"/>
  <c r="AB25" i="17" s="1"/>
  <c r="AO41" i="17"/>
  <c r="AO51" i="17"/>
  <c r="W103" i="17"/>
  <c r="AO103" i="17"/>
  <c r="W85" i="17"/>
  <c r="AO85" i="17"/>
  <c r="AO47" i="17"/>
  <c r="AO56" i="17"/>
  <c r="C26" i="10"/>
  <c r="AO26" i="17"/>
  <c r="W40" i="17"/>
  <c r="AO40" i="17"/>
  <c r="AO102" i="17"/>
  <c r="W50" i="17"/>
  <c r="AO50" i="17"/>
  <c r="AO96" i="17"/>
  <c r="W58" i="17"/>
  <c r="AO58" i="17"/>
  <c r="W45" i="17"/>
  <c r="AO45" i="17"/>
  <c r="W104" i="17"/>
  <c r="AO104" i="17"/>
  <c r="W46" i="17"/>
  <c r="AO46" i="17"/>
  <c r="AO49" i="17"/>
  <c r="AO43" i="17"/>
  <c r="AO97" i="17"/>
  <c r="AO106" i="17"/>
  <c r="AO94" i="17"/>
  <c r="W94" i="17"/>
  <c r="W41" i="17"/>
  <c r="W106" i="17"/>
  <c r="Z26" i="17"/>
  <c r="AA26" i="17" s="1"/>
  <c r="G26" i="10" s="1"/>
  <c r="Z42" i="17"/>
  <c r="AA42" i="17" s="1"/>
  <c r="G42" i="10" s="1"/>
  <c r="Z58" i="17"/>
  <c r="AA58" i="17" s="1"/>
  <c r="G58" i="10" s="1"/>
  <c r="Z74" i="17"/>
  <c r="AA74" i="17" s="1"/>
  <c r="G74" i="10" s="1"/>
  <c r="Z90" i="17"/>
  <c r="AA90" i="17" s="1"/>
  <c r="G90" i="10" s="1"/>
  <c r="Z106" i="17"/>
  <c r="AA106" i="17" s="1"/>
  <c r="G106" i="10" s="1"/>
  <c r="Z43" i="17"/>
  <c r="AA43" i="17" s="1"/>
  <c r="G43" i="10" s="1"/>
  <c r="Z59" i="17"/>
  <c r="AA59" i="17" s="1"/>
  <c r="G59" i="10" s="1"/>
  <c r="Z75" i="17"/>
  <c r="AA75" i="17" s="1"/>
  <c r="G75" i="10" s="1"/>
  <c r="Z91" i="17"/>
  <c r="AA91" i="17" s="1"/>
  <c r="G91" i="10" s="1"/>
  <c r="Z107" i="17"/>
  <c r="AA107" i="17" s="1"/>
  <c r="G107" i="10" s="1"/>
  <c r="Z44" i="17"/>
  <c r="AA44" i="17" s="1"/>
  <c r="G44" i="10" s="1"/>
  <c r="Z60" i="17"/>
  <c r="AA60" i="17" s="1"/>
  <c r="G60" i="10" s="1"/>
  <c r="Z76" i="17"/>
  <c r="AA76" i="17" s="1"/>
  <c r="G76" i="10" s="1"/>
  <c r="Z92" i="17"/>
  <c r="AA92" i="17" s="1"/>
  <c r="G92" i="10" s="1"/>
  <c r="Z108" i="17"/>
  <c r="AA108" i="17" s="1"/>
  <c r="G108" i="10" s="1"/>
  <c r="Z49" i="17"/>
  <c r="Z97" i="17"/>
  <c r="AA97" i="17" s="1"/>
  <c r="G97" i="10" s="1"/>
  <c r="Z66" i="17"/>
  <c r="AA66" i="17" s="1"/>
  <c r="G66" i="10" s="1"/>
  <c r="Z98" i="17"/>
  <c r="AA98" i="17" s="1"/>
  <c r="G98" i="10" s="1"/>
  <c r="Z51" i="17"/>
  <c r="AA51" i="17" s="1"/>
  <c r="G51" i="10" s="1"/>
  <c r="Z52" i="17"/>
  <c r="AA52" i="17" s="1"/>
  <c r="G52" i="10" s="1"/>
  <c r="Z84" i="17"/>
  <c r="AA84" i="17" s="1"/>
  <c r="G84" i="10" s="1"/>
  <c r="Z27" i="17"/>
  <c r="AA27" i="17" s="1"/>
  <c r="G27" i="10" s="1"/>
  <c r="Z28" i="17"/>
  <c r="AA28" i="17" s="1"/>
  <c r="G28" i="10" s="1"/>
  <c r="Z29" i="17"/>
  <c r="AA29" i="17" s="1"/>
  <c r="G29" i="10" s="1"/>
  <c r="Z45" i="17"/>
  <c r="AA45" i="17" s="1"/>
  <c r="G45" i="10" s="1"/>
  <c r="Z61" i="17"/>
  <c r="AA61" i="17" s="1"/>
  <c r="G61" i="10" s="1"/>
  <c r="Z77" i="17"/>
  <c r="AA77" i="17" s="1"/>
  <c r="G77" i="10" s="1"/>
  <c r="Z93" i="17"/>
  <c r="AA93" i="17" s="1"/>
  <c r="G93" i="10" s="1"/>
  <c r="Z109" i="17"/>
  <c r="AA109" i="17" s="1"/>
  <c r="G109" i="10" s="1"/>
  <c r="Z46" i="17"/>
  <c r="AA46" i="17" s="1"/>
  <c r="G46" i="10" s="1"/>
  <c r="Z62" i="17"/>
  <c r="AA62" i="17" s="1"/>
  <c r="G62" i="10" s="1"/>
  <c r="Z78" i="17"/>
  <c r="AA78" i="17" s="1"/>
  <c r="G78" i="10" s="1"/>
  <c r="Z94" i="17"/>
  <c r="AA94" i="17" s="1"/>
  <c r="G94" i="10" s="1"/>
  <c r="Z110" i="17"/>
  <c r="AA110" i="17" s="1"/>
  <c r="G110" i="10" s="1"/>
  <c r="Z31" i="17"/>
  <c r="AA31" i="17" s="1"/>
  <c r="G31" i="10" s="1"/>
  <c r="Z63" i="17"/>
  <c r="AA63" i="17" s="1"/>
  <c r="G63" i="10" s="1"/>
  <c r="Z79" i="17"/>
  <c r="AA79" i="17" s="1"/>
  <c r="G79" i="10" s="1"/>
  <c r="Z95" i="17"/>
  <c r="AA95" i="17" s="1"/>
  <c r="G95" i="10" s="1"/>
  <c r="Z25" i="17"/>
  <c r="Z32" i="17"/>
  <c r="AA32" i="17" s="1"/>
  <c r="G32" i="10" s="1"/>
  <c r="Z48" i="17"/>
  <c r="AA48" i="17" s="1"/>
  <c r="G48" i="10" s="1"/>
  <c r="Z64" i="17"/>
  <c r="AA64" i="17" s="1"/>
  <c r="G64" i="10" s="1"/>
  <c r="Z80" i="17"/>
  <c r="AA80" i="17" s="1"/>
  <c r="G80" i="10" s="1"/>
  <c r="Z96" i="17"/>
  <c r="AA96" i="17" s="1"/>
  <c r="G96" i="10" s="1"/>
  <c r="Z65" i="17"/>
  <c r="AA65" i="17" s="1"/>
  <c r="G65" i="10" s="1"/>
  <c r="Z81" i="17"/>
  <c r="AA81" i="17" s="1"/>
  <c r="G81" i="10" s="1"/>
  <c r="Z50" i="17"/>
  <c r="AA50" i="17" s="1"/>
  <c r="G50" i="10" s="1"/>
  <c r="Z82" i="17"/>
  <c r="AA82" i="17" s="1"/>
  <c r="G82" i="10" s="1"/>
  <c r="Z67" i="17"/>
  <c r="AA67" i="17" s="1"/>
  <c r="G67" i="10" s="1"/>
  <c r="Z83" i="17"/>
  <c r="AA83" i="17" s="1"/>
  <c r="G83" i="10" s="1"/>
  <c r="Z99" i="17"/>
  <c r="AA99" i="17" s="1"/>
  <c r="G99" i="10" s="1"/>
  <c r="Z68" i="17"/>
  <c r="AA68" i="17" s="1"/>
  <c r="G68" i="10" s="1"/>
  <c r="Z100" i="17"/>
  <c r="AA100" i="17" s="1"/>
  <c r="G100" i="10" s="1"/>
  <c r="Z30" i="17"/>
  <c r="AA30" i="17" s="1"/>
  <c r="G30" i="10" s="1"/>
  <c r="Z47" i="17"/>
  <c r="AA47" i="17" s="1"/>
  <c r="G47" i="10" s="1"/>
  <c r="Z33" i="17"/>
  <c r="AA33" i="17" s="1"/>
  <c r="G33" i="10" s="1"/>
  <c r="Z34" i="17"/>
  <c r="AA34" i="17" s="1"/>
  <c r="G34" i="10" s="1"/>
  <c r="Z35" i="17"/>
  <c r="AA35" i="17" s="1"/>
  <c r="G35" i="10" s="1"/>
  <c r="Z36" i="17"/>
  <c r="AA36" i="17" s="1"/>
  <c r="G36" i="10" s="1"/>
  <c r="Z39" i="17"/>
  <c r="AA39" i="17" s="1"/>
  <c r="G39" i="10" s="1"/>
  <c r="Z40" i="17"/>
  <c r="AA40" i="17" s="1"/>
  <c r="G40" i="10" s="1"/>
  <c r="Z37" i="17"/>
  <c r="AA37" i="17" s="1"/>
  <c r="G37" i="10" s="1"/>
  <c r="Z88" i="17"/>
  <c r="AA88" i="17" s="1"/>
  <c r="G88" i="10" s="1"/>
  <c r="Z54" i="17"/>
  <c r="AA54" i="17" s="1"/>
  <c r="G54" i="10" s="1"/>
  <c r="Z55" i="17"/>
  <c r="AA55" i="17" s="1"/>
  <c r="G55" i="10" s="1"/>
  <c r="Z38" i="17"/>
  <c r="AA38" i="17" s="1"/>
  <c r="G38" i="10" s="1"/>
  <c r="Z89" i="17"/>
  <c r="AA89" i="17" s="1"/>
  <c r="G89" i="10" s="1"/>
  <c r="Z102" i="17"/>
  <c r="AA102" i="17" s="1"/>
  <c r="G102" i="10" s="1"/>
  <c r="Z104" i="17"/>
  <c r="AA104" i="17" s="1"/>
  <c r="G104" i="10" s="1"/>
  <c r="Z56" i="17"/>
  <c r="AA56" i="17" s="1"/>
  <c r="G56" i="10" s="1"/>
  <c r="Z86" i="17"/>
  <c r="AA86" i="17" s="1"/>
  <c r="G86" i="10" s="1"/>
  <c r="Z41" i="17"/>
  <c r="AA41" i="17" s="1"/>
  <c r="G41" i="10" s="1"/>
  <c r="Z101" i="17"/>
  <c r="AA101" i="17" s="1"/>
  <c r="G101" i="10" s="1"/>
  <c r="Z103" i="17"/>
  <c r="AA103" i="17" s="1"/>
  <c r="G103" i="10" s="1"/>
  <c r="Z105" i="17"/>
  <c r="AA105" i="17" s="1"/>
  <c r="G105" i="10" s="1"/>
  <c r="Z71" i="17"/>
  <c r="AA71" i="17" s="1"/>
  <c r="G71" i="10" s="1"/>
  <c r="Z53" i="17"/>
  <c r="AA53" i="17" s="1"/>
  <c r="G53" i="10" s="1"/>
  <c r="Z57" i="17"/>
  <c r="AA57" i="17" s="1"/>
  <c r="G57" i="10" s="1"/>
  <c r="Z70" i="17"/>
  <c r="AA70" i="17" s="1"/>
  <c r="G70" i="10" s="1"/>
  <c r="Z72" i="17"/>
  <c r="AA72" i="17" s="1"/>
  <c r="G72" i="10" s="1"/>
  <c r="Z85" i="17"/>
  <c r="AA85" i="17" s="1"/>
  <c r="G85" i="10" s="1"/>
  <c r="Z69" i="17"/>
  <c r="AA69" i="17" s="1"/>
  <c r="G69" i="10" s="1"/>
  <c r="Z73" i="17"/>
  <c r="AA73" i="17" s="1"/>
  <c r="G73" i="10" s="1"/>
  <c r="Z87" i="17"/>
  <c r="AA87" i="17" s="1"/>
  <c r="G87" i="10" s="1"/>
  <c r="AB37" i="17"/>
  <c r="AC37" i="17" s="1"/>
  <c r="H37" i="10" s="1"/>
  <c r="AB48" i="17"/>
  <c r="AC48" i="17" s="1"/>
  <c r="H48" i="10" s="1"/>
  <c r="AB110" i="17"/>
  <c r="AC110" i="17" s="1"/>
  <c r="H110" i="10" s="1"/>
  <c r="AB98" i="17"/>
  <c r="AC98" i="17" s="1"/>
  <c r="H98" i="10" s="1"/>
  <c r="AB54" i="17"/>
  <c r="AC54" i="17" s="1"/>
  <c r="H54" i="10" s="1"/>
  <c r="AB49" i="17"/>
  <c r="AC49" i="17" s="1"/>
  <c r="H49" i="10" s="1"/>
  <c r="AB61" i="17"/>
  <c r="AC61" i="17" s="1"/>
  <c r="H61" i="10" s="1"/>
  <c r="I111" i="17"/>
  <c r="I112" i="17"/>
  <c r="W51" i="17"/>
  <c r="W66" i="17"/>
  <c r="W92" i="17"/>
  <c r="W96" i="17"/>
  <c r="W26" i="17"/>
  <c r="W43" i="17"/>
  <c r="V48" i="17"/>
  <c r="C48" i="10" s="1"/>
  <c r="Y49" i="17"/>
  <c r="F49" i="10" s="1"/>
  <c r="W97" i="17"/>
  <c r="W49" i="17"/>
  <c r="Y98" i="17"/>
  <c r="F98" i="10" s="1"/>
  <c r="V98" i="17"/>
  <c r="W36" i="17"/>
  <c r="W39" i="17"/>
  <c r="W68" i="17"/>
  <c r="W56" i="17"/>
  <c r="W60" i="17"/>
  <c r="W59" i="17"/>
  <c r="W52" i="17"/>
  <c r="W32" i="17"/>
  <c r="C32" i="10"/>
  <c r="W80" i="17"/>
  <c r="W62" i="17"/>
  <c r="W70" i="17"/>
  <c r="W63" i="17"/>
  <c r="W76" i="17"/>
  <c r="V110" i="17"/>
  <c r="Y110" i="17"/>
  <c r="F110" i="10" s="1"/>
  <c r="L111" i="17"/>
  <c r="C21" i="14" s="1"/>
  <c r="W34" i="17"/>
  <c r="R111" i="17"/>
  <c r="W102" i="17"/>
  <c r="Y54" i="17"/>
  <c r="F54" i="10" s="1"/>
  <c r="V54" i="17"/>
  <c r="Y61" i="17"/>
  <c r="F61" i="10" s="1"/>
  <c r="J112" i="17"/>
  <c r="J111" i="17"/>
  <c r="W88" i="17"/>
  <c r="Y37" i="17"/>
  <c r="F37" i="10" s="1"/>
  <c r="V37" i="17"/>
  <c r="O112" i="17"/>
  <c r="C15" i="14" s="1"/>
  <c r="W61" i="17"/>
  <c r="W18" i="17"/>
  <c r="W47" i="17"/>
  <c r="W90" i="17"/>
  <c r="W33" i="17"/>
  <c r="C33" i="10"/>
  <c r="W73" i="17"/>
  <c r="Z22" i="17"/>
  <c r="G22" i="10" s="1"/>
  <c r="Z16" i="17"/>
  <c r="Z20" i="17"/>
  <c r="G20" i="10" s="1"/>
  <c r="Z19" i="17"/>
  <c r="G19" i="10" s="1"/>
  <c r="Z24" i="17"/>
  <c r="G24" i="10" s="1"/>
  <c r="Z18" i="17"/>
  <c r="G18" i="10" s="1"/>
  <c r="Z17" i="17"/>
  <c r="G17" i="10" s="1"/>
  <c r="Z21" i="17"/>
  <c r="G21" i="10" s="1"/>
  <c r="AA49" i="17"/>
  <c r="G49" i="10" s="1"/>
  <c r="Z23" i="17"/>
  <c r="G23" i="10" s="1"/>
  <c r="AJ99" i="17"/>
  <c r="AL99" i="17" s="1"/>
  <c r="K99" i="10" s="1"/>
  <c r="AJ56" i="17"/>
  <c r="AL56" i="17" s="1"/>
  <c r="K56" i="10" s="1"/>
  <c r="AJ39" i="17"/>
  <c r="AL39" i="17" s="1"/>
  <c r="K39" i="10" s="1"/>
  <c r="AJ20" i="17"/>
  <c r="AL20" i="17" s="1"/>
  <c r="K20" i="10" s="1"/>
  <c r="AJ98" i="17"/>
  <c r="AL98" i="17" s="1"/>
  <c r="K98" i="10" s="1"/>
  <c r="AJ109" i="17"/>
  <c r="AL109" i="17" s="1"/>
  <c r="K109" i="10" s="1"/>
  <c r="AJ45" i="17"/>
  <c r="AL45" i="17" s="1"/>
  <c r="K45" i="10" s="1"/>
  <c r="AJ61" i="17"/>
  <c r="AL61" i="17" s="1"/>
  <c r="K61" i="10" s="1"/>
  <c r="AJ100" i="17"/>
  <c r="AL100" i="17" s="1"/>
  <c r="K100" i="10" s="1"/>
  <c r="AJ58" i="17"/>
  <c r="AL58" i="17" s="1"/>
  <c r="K58" i="10" s="1"/>
  <c r="AJ50" i="17"/>
  <c r="AL50" i="17" s="1"/>
  <c r="K50" i="10" s="1"/>
  <c r="AJ80" i="17"/>
  <c r="AL80" i="17" s="1"/>
  <c r="K80" i="10" s="1"/>
  <c r="AJ65" i="17"/>
  <c r="AL65" i="17" s="1"/>
  <c r="K65" i="10" s="1"/>
  <c r="AJ97" i="17"/>
  <c r="AL97" i="17" s="1"/>
  <c r="K97" i="10" s="1"/>
  <c r="AJ23" i="17"/>
  <c r="AL23" i="17" s="1"/>
  <c r="K23" i="10" s="1"/>
  <c r="AJ46" i="17"/>
  <c r="AL46" i="17" s="1"/>
  <c r="K46" i="10" s="1"/>
  <c r="AJ36" i="17"/>
  <c r="AL36" i="17" s="1"/>
  <c r="K36" i="10" s="1"/>
  <c r="AJ18" i="17"/>
  <c r="AL18" i="17" s="1"/>
  <c r="K18" i="10" s="1"/>
  <c r="AJ79" i="17"/>
  <c r="AL79" i="17" s="1"/>
  <c r="K79" i="10" s="1"/>
  <c r="AJ37" i="17"/>
  <c r="AL37" i="17" s="1"/>
  <c r="K37" i="10" s="1"/>
  <c r="AJ12" i="17"/>
  <c r="AL12" i="17" s="1"/>
  <c r="K12" i="10" s="1"/>
  <c r="AJ14" i="17"/>
  <c r="AL14" i="17" s="1"/>
  <c r="K14" i="10" s="1"/>
  <c r="AJ11" i="17"/>
  <c r="AL11" i="17" s="1"/>
  <c r="K11" i="10" s="1"/>
  <c r="AJ26" i="17"/>
  <c r="AL26" i="17" s="1"/>
  <c r="K26" i="10" s="1"/>
  <c r="AJ63" i="17"/>
  <c r="AL63" i="17" s="1"/>
  <c r="K63" i="10" s="1"/>
  <c r="AJ71" i="17"/>
  <c r="AL71" i="17" s="1"/>
  <c r="K71" i="10" s="1"/>
  <c r="AJ31" i="17"/>
  <c r="AL31" i="17" s="1"/>
  <c r="K31" i="10" s="1"/>
  <c r="AJ44" i="17"/>
  <c r="AL44" i="17" s="1"/>
  <c r="K44" i="10" s="1"/>
  <c r="AJ76" i="17"/>
  <c r="AL76" i="17" s="1"/>
  <c r="K76" i="10" s="1"/>
  <c r="AJ13" i="17"/>
  <c r="AL13" i="17" s="1"/>
  <c r="K13" i="10" s="1"/>
  <c r="AJ78" i="17"/>
  <c r="AL78" i="17" s="1"/>
  <c r="K78" i="10" s="1"/>
  <c r="AJ93" i="17"/>
  <c r="AL93" i="17" s="1"/>
  <c r="K93" i="10" s="1"/>
  <c r="AJ40" i="17"/>
  <c r="AL40" i="17" s="1"/>
  <c r="K40" i="10" s="1"/>
  <c r="AJ53" i="17"/>
  <c r="AL53" i="17" s="1"/>
  <c r="K53" i="10" s="1"/>
  <c r="AJ57" i="17"/>
  <c r="AL57" i="17" s="1"/>
  <c r="K57" i="10" s="1"/>
  <c r="AJ38" i="17"/>
  <c r="AL38" i="17" s="1"/>
  <c r="K38" i="10" s="1"/>
  <c r="AJ72" i="17"/>
  <c r="AL72" i="17" s="1"/>
  <c r="K72" i="10" s="1"/>
  <c r="AJ110" i="17"/>
  <c r="AL110" i="17" s="1"/>
  <c r="K110" i="10" s="1"/>
  <c r="AJ84" i="17"/>
  <c r="AL84" i="17" s="1"/>
  <c r="K84" i="10" s="1"/>
  <c r="AJ60" i="17"/>
  <c r="AL60" i="17" s="1"/>
  <c r="K60" i="10" s="1"/>
  <c r="AJ51" i="17"/>
  <c r="AL51" i="17" s="1"/>
  <c r="K51" i="10" s="1"/>
  <c r="AJ43" i="17"/>
  <c r="AL43" i="17" s="1"/>
  <c r="K43" i="10" s="1"/>
  <c r="AJ62" i="17"/>
  <c r="AL62" i="17" s="1"/>
  <c r="K62" i="10" s="1"/>
  <c r="AJ106" i="17"/>
  <c r="AL106" i="17" s="1"/>
  <c r="K106" i="10" s="1"/>
  <c r="AJ70" i="17"/>
  <c r="AL70" i="17" s="1"/>
  <c r="K70" i="10" s="1"/>
  <c r="AJ34" i="17"/>
  <c r="AL34" i="17" s="1"/>
  <c r="K34" i="10" s="1"/>
  <c r="AJ22" i="17"/>
  <c r="AL22" i="17" s="1"/>
  <c r="K22" i="10" s="1"/>
  <c r="AJ42" i="17"/>
  <c r="AL42" i="17" s="1"/>
  <c r="K42" i="10" s="1"/>
  <c r="AJ27" i="17"/>
  <c r="AL27" i="17" s="1"/>
  <c r="K27" i="10" s="1"/>
  <c r="AJ102" i="17"/>
  <c r="AL102" i="17" s="1"/>
  <c r="K102" i="10" s="1"/>
  <c r="AJ33" i="17"/>
  <c r="AL33" i="17" s="1"/>
  <c r="K33" i="10" s="1"/>
  <c r="AJ89" i="17"/>
  <c r="AL89" i="17" s="1"/>
  <c r="K89" i="10" s="1"/>
  <c r="AJ19" i="17"/>
  <c r="AL19" i="17" s="1"/>
  <c r="K19" i="10" s="1"/>
  <c r="AJ74" i="17"/>
  <c r="AL74" i="17" s="1"/>
  <c r="K74" i="10" s="1"/>
  <c r="AJ64" i="17"/>
  <c r="AL64" i="17" s="1"/>
  <c r="K64" i="10" s="1"/>
  <c r="AJ59" i="17"/>
  <c r="AL59" i="17" s="1"/>
  <c r="K59" i="10" s="1"/>
  <c r="AJ15" i="17"/>
  <c r="AL15" i="17" s="1"/>
  <c r="K15" i="10" s="1"/>
  <c r="I16" i="20" s="1"/>
  <c r="U16" i="20" s="1"/>
  <c r="V16" i="20" s="1"/>
  <c r="AJ94" i="17"/>
  <c r="AL94" i="17" s="1"/>
  <c r="K94" i="10" s="1"/>
  <c r="AJ24" i="17"/>
  <c r="AL24" i="17" s="1"/>
  <c r="K24" i="10" s="1"/>
  <c r="AJ28" i="17"/>
  <c r="AL28" i="17" s="1"/>
  <c r="K28" i="10" s="1"/>
  <c r="AJ104" i="17"/>
  <c r="AL104" i="17" s="1"/>
  <c r="K104" i="10" s="1"/>
  <c r="AJ35" i="17"/>
  <c r="AL35" i="17" s="1"/>
  <c r="K35" i="10" s="1"/>
  <c r="AJ75" i="17"/>
  <c r="AL75" i="17" s="1"/>
  <c r="K75" i="10" s="1"/>
  <c r="AJ88" i="17"/>
  <c r="AL88" i="17" s="1"/>
  <c r="K88" i="10" s="1"/>
  <c r="AJ55" i="17"/>
  <c r="AL55" i="17" s="1"/>
  <c r="K55" i="10" s="1"/>
  <c r="AJ83" i="17"/>
  <c r="AL83" i="17" s="1"/>
  <c r="K83" i="10" s="1"/>
  <c r="AJ86" i="17"/>
  <c r="AL86" i="17" s="1"/>
  <c r="K86" i="10" s="1"/>
  <c r="AJ103" i="17"/>
  <c r="AL103" i="17" s="1"/>
  <c r="K103" i="10" s="1"/>
  <c r="AJ47" i="17"/>
  <c r="AL47" i="17" s="1"/>
  <c r="K47" i="10" s="1"/>
  <c r="AJ81" i="17"/>
  <c r="AL81" i="17" s="1"/>
  <c r="K81" i="10" s="1"/>
  <c r="AJ67" i="17"/>
  <c r="AL67" i="17" s="1"/>
  <c r="K67" i="10" s="1"/>
  <c r="AJ16" i="17"/>
  <c r="AJ69" i="17"/>
  <c r="AL69" i="17" s="1"/>
  <c r="K69" i="10" s="1"/>
  <c r="AJ90" i="17"/>
  <c r="AL90" i="17" s="1"/>
  <c r="K90" i="10" s="1"/>
  <c r="AJ73" i="17"/>
  <c r="AL73" i="17" s="1"/>
  <c r="K73" i="10" s="1"/>
  <c r="AJ17" i="17"/>
  <c r="AL17" i="17" s="1"/>
  <c r="K17" i="10" s="1"/>
  <c r="AJ77" i="17"/>
  <c r="AL77" i="17" s="1"/>
  <c r="K77" i="10" s="1"/>
  <c r="AJ21" i="17"/>
  <c r="AL21" i="17" s="1"/>
  <c r="K21" i="10" s="1"/>
  <c r="AJ105" i="17"/>
  <c r="AL105" i="17" s="1"/>
  <c r="K105" i="10" s="1"/>
  <c r="AJ48" i="17"/>
  <c r="AL48" i="17" s="1"/>
  <c r="K48" i="10" s="1"/>
  <c r="AJ54" i="17"/>
  <c r="AL54" i="17" s="1"/>
  <c r="K54" i="10" s="1"/>
  <c r="AJ66" i="17"/>
  <c r="AL66" i="17" s="1"/>
  <c r="K66" i="10" s="1"/>
  <c r="AJ91" i="17"/>
  <c r="AL91" i="17" s="1"/>
  <c r="K91" i="10" s="1"/>
  <c r="AJ82" i="17"/>
  <c r="AL82" i="17" s="1"/>
  <c r="K82" i="10" s="1"/>
  <c r="AJ101" i="17"/>
  <c r="AL101" i="17" s="1"/>
  <c r="K101" i="10" s="1"/>
  <c r="AJ41" i="17"/>
  <c r="AL41" i="17" s="1"/>
  <c r="K41" i="10" s="1"/>
  <c r="AJ95" i="17"/>
  <c r="AL95" i="17" s="1"/>
  <c r="K95" i="10" s="1"/>
  <c r="AJ25" i="17"/>
  <c r="AJ108" i="17"/>
  <c r="AL108" i="17" s="1"/>
  <c r="K108" i="10" s="1"/>
  <c r="AJ92" i="17"/>
  <c r="AL92" i="17" s="1"/>
  <c r="K92" i="10" s="1"/>
  <c r="AJ49" i="17"/>
  <c r="AL49" i="17" s="1"/>
  <c r="K49" i="10" s="1"/>
  <c r="AJ52" i="17"/>
  <c r="AL52" i="17" s="1"/>
  <c r="K52" i="10" s="1"/>
  <c r="AJ68" i="17"/>
  <c r="AL68" i="17" s="1"/>
  <c r="K68" i="10" s="1"/>
  <c r="AJ107" i="17"/>
  <c r="AL107" i="17" s="1"/>
  <c r="K107" i="10" s="1"/>
  <c r="AJ87" i="17"/>
  <c r="AL87" i="17" s="1"/>
  <c r="K87" i="10" s="1"/>
  <c r="AJ96" i="17"/>
  <c r="AL96" i="17" s="1"/>
  <c r="K96" i="10" s="1"/>
  <c r="AJ85" i="17"/>
  <c r="AL85" i="17" s="1"/>
  <c r="K85" i="10" s="1"/>
  <c r="AJ29" i="17"/>
  <c r="AL29" i="17" s="1"/>
  <c r="K29" i="10" s="1"/>
  <c r="AJ30" i="17"/>
  <c r="AL30" i="17" s="1"/>
  <c r="K30" i="10" s="1"/>
  <c r="AJ32" i="17"/>
  <c r="AL32" i="17" s="1"/>
  <c r="K32" i="10" s="1"/>
  <c r="K19" i="18"/>
  <c r="M19" i="18" s="1"/>
  <c r="O19" i="18" s="1"/>
  <c r="C64" i="14"/>
  <c r="C66" i="14" s="1"/>
  <c r="W82" i="17"/>
  <c r="F316" i="14"/>
  <c r="C317" i="14" s="1"/>
  <c r="F325" i="14"/>
  <c r="C309" i="14"/>
  <c r="W107" i="17"/>
  <c r="W87" i="17"/>
  <c r="X17" i="17"/>
  <c r="T17" i="17"/>
  <c r="C356" i="14"/>
  <c r="B24" i="18"/>
  <c r="C18" i="6" s="1"/>
  <c r="W75" i="17"/>
  <c r="W53" i="17"/>
  <c r="S112" i="17" l="1"/>
  <c r="AO98" i="17"/>
  <c r="C98" i="10"/>
  <c r="AO110" i="17"/>
  <c r="C110" i="10"/>
  <c r="AO54" i="17"/>
  <c r="C54" i="10"/>
  <c r="AO37" i="17"/>
  <c r="C37" i="10"/>
  <c r="W48" i="17"/>
  <c r="AO48" i="17"/>
  <c r="L112" i="17"/>
  <c r="C20" i="14" s="1"/>
  <c r="C101" i="14" s="1"/>
  <c r="F19" i="18"/>
  <c r="H13" i="6" s="1"/>
  <c r="I13" i="6" s="1"/>
  <c r="T25" i="17"/>
  <c r="T111" i="17" s="1"/>
  <c r="X113" i="17"/>
  <c r="W98" i="17"/>
  <c r="W110" i="17"/>
  <c r="AC25" i="17"/>
  <c r="AB111" i="17"/>
  <c r="AB112" i="17"/>
  <c r="AA25" i="17"/>
  <c r="Z111" i="17"/>
  <c r="AL25" i="17"/>
  <c r="AJ111" i="17"/>
  <c r="W54" i="17"/>
  <c r="O111" i="17"/>
  <c r="C16" i="14" s="1"/>
  <c r="W37" i="17"/>
  <c r="V17" i="17"/>
  <c r="Y17" i="17"/>
  <c r="AL16" i="17"/>
  <c r="AJ112" i="17"/>
  <c r="AF80" i="17"/>
  <c r="AF59" i="17"/>
  <c r="AF67" i="17"/>
  <c r="AF96" i="17"/>
  <c r="AF20" i="17"/>
  <c r="AF99" i="17"/>
  <c r="AF47" i="17"/>
  <c r="AF43" i="17"/>
  <c r="AF92" i="17"/>
  <c r="AF38" i="17"/>
  <c r="AF25" i="17"/>
  <c r="AF33" i="17"/>
  <c r="AF107" i="17"/>
  <c r="AF22" i="17"/>
  <c r="AF23" i="17"/>
  <c r="AF37" i="17"/>
  <c r="AF29" i="17"/>
  <c r="AF103" i="17"/>
  <c r="AF95" i="17"/>
  <c r="AF57" i="17"/>
  <c r="AF35" i="17"/>
  <c r="AF50" i="17"/>
  <c r="AF79" i="17"/>
  <c r="AF65" i="17"/>
  <c r="AF17" i="17"/>
  <c r="AF36" i="17"/>
  <c r="AF24" i="17"/>
  <c r="AF56" i="17"/>
  <c r="AF77" i="17"/>
  <c r="AF83" i="17"/>
  <c r="AF97" i="17"/>
  <c r="AF82" i="17"/>
  <c r="AF71" i="17"/>
  <c r="AF64" i="17"/>
  <c r="AF105" i="17"/>
  <c r="AF32" i="17"/>
  <c r="AF27" i="17"/>
  <c r="AF39" i="17"/>
  <c r="AF34" i="17"/>
  <c r="AF44" i="17"/>
  <c r="AF74" i="17"/>
  <c r="AF52" i="17"/>
  <c r="AF16" i="17"/>
  <c r="AF46" i="17"/>
  <c r="AF28" i="17"/>
  <c r="AF63" i="17"/>
  <c r="AF102" i="17"/>
  <c r="AF76" i="17"/>
  <c r="AF98" i="17"/>
  <c r="AF106" i="17"/>
  <c r="AF94" i="17"/>
  <c r="AF90" i="17"/>
  <c r="AF45" i="17"/>
  <c r="AF66" i="17"/>
  <c r="AF109" i="17"/>
  <c r="AF61" i="17"/>
  <c r="AF100" i="17"/>
  <c r="AF62" i="17"/>
  <c r="AF81" i="17"/>
  <c r="AF58" i="17"/>
  <c r="AF73" i="17"/>
  <c r="AF85" i="17"/>
  <c r="AF69" i="17"/>
  <c r="AF110" i="17"/>
  <c r="AF30" i="17"/>
  <c r="AF31" i="17"/>
  <c r="AF60" i="17"/>
  <c r="AF78" i="17"/>
  <c r="AF18" i="17"/>
  <c r="AF91" i="17"/>
  <c r="AF84" i="17"/>
  <c r="AF72" i="17"/>
  <c r="AF75" i="17"/>
  <c r="AF53" i="17"/>
  <c r="AF48" i="17"/>
  <c r="AF68" i="17"/>
  <c r="AF89" i="17"/>
  <c r="AF101" i="17"/>
  <c r="AF19" i="17"/>
  <c r="AF40" i="17"/>
  <c r="AF104" i="17"/>
  <c r="AF55" i="17"/>
  <c r="AF108" i="17"/>
  <c r="AF51" i="17"/>
  <c r="AF41" i="17"/>
  <c r="AF42" i="17"/>
  <c r="AF88" i="17"/>
  <c r="AF49" i="17"/>
  <c r="AF87" i="17"/>
  <c r="AF93" i="17"/>
  <c r="AF86" i="17"/>
  <c r="AF70" i="17"/>
  <c r="AF54" i="17"/>
  <c r="AF21" i="17"/>
  <c r="AF26" i="17"/>
  <c r="I12" i="20"/>
  <c r="U12" i="20" s="1"/>
  <c r="V12" i="20" s="1"/>
  <c r="Y12" i="20" s="1"/>
  <c r="L11" i="10"/>
  <c r="Z112" i="17"/>
  <c r="AG109" i="17"/>
  <c r="AG61" i="17"/>
  <c r="AG82" i="17"/>
  <c r="AG106" i="17"/>
  <c r="AG39" i="17"/>
  <c r="AG68" i="17"/>
  <c r="AG77" i="17"/>
  <c r="AG60" i="17"/>
  <c r="AG55" i="17"/>
  <c r="AG102" i="17"/>
  <c r="AG105" i="17"/>
  <c r="AG58" i="17"/>
  <c r="AG81" i="17"/>
  <c r="AG69" i="17"/>
  <c r="AG99" i="17"/>
  <c r="AG92" i="17"/>
  <c r="AG87" i="17"/>
  <c r="AG51" i="17"/>
  <c r="AG38" i="17"/>
  <c r="AG57" i="17"/>
  <c r="AG26" i="17"/>
  <c r="AG43" i="17"/>
  <c r="AG90" i="17"/>
  <c r="AG65" i="17"/>
  <c r="AG47" i="17"/>
  <c r="AG110" i="17"/>
  <c r="AG34" i="17"/>
  <c r="AG88" i="17"/>
  <c r="AG24" i="17"/>
  <c r="AG95" i="17"/>
  <c r="AG103" i="17"/>
  <c r="AG66" i="17"/>
  <c r="AG64" i="17"/>
  <c r="AG100" i="17"/>
  <c r="AG104" i="17"/>
  <c r="AG50" i="17"/>
  <c r="AG97" i="17"/>
  <c r="AG86" i="17"/>
  <c r="AG79" i="17"/>
  <c r="AG75" i="17"/>
  <c r="AG41" i="17"/>
  <c r="AG63" i="17"/>
  <c r="AG29" i="17"/>
  <c r="AG21" i="17"/>
  <c r="AG31" i="17"/>
  <c r="AG20" i="17"/>
  <c r="AG44" i="17"/>
  <c r="AG98" i="17"/>
  <c r="AG30" i="17"/>
  <c r="AG36" i="17"/>
  <c r="AG32" i="17"/>
  <c r="AG83" i="17"/>
  <c r="AG18" i="17"/>
  <c r="AG33" i="17"/>
  <c r="AG56" i="17"/>
  <c r="AG52" i="17"/>
  <c r="AG93" i="17"/>
  <c r="AG25" i="17"/>
  <c r="AG72" i="17"/>
  <c r="AG74" i="17"/>
  <c r="AG107" i="17"/>
  <c r="AG54" i="17"/>
  <c r="AG62" i="17"/>
  <c r="AG67" i="17"/>
  <c r="AG70" i="17"/>
  <c r="AG94" i="17"/>
  <c r="AG89" i="17"/>
  <c r="AG28" i="17"/>
  <c r="AG85" i="17"/>
  <c r="AG96" i="17"/>
  <c r="AG49" i="17"/>
  <c r="AG78" i="17"/>
  <c r="AG101" i="17"/>
  <c r="AG40" i="17"/>
  <c r="AG91" i="17"/>
  <c r="AG22" i="17"/>
  <c r="AG53" i="17"/>
  <c r="AG84" i="17"/>
  <c r="AG19" i="17"/>
  <c r="AG76" i="17"/>
  <c r="AG27" i="17"/>
  <c r="AG35" i="17"/>
  <c r="AG23" i="17"/>
  <c r="AG46" i="17"/>
  <c r="AG42" i="17"/>
  <c r="AG80" i="17"/>
  <c r="AG59" i="17"/>
  <c r="AG73" i="17"/>
  <c r="AG17" i="17"/>
  <c r="AG48" i="17"/>
  <c r="AG71" i="17"/>
  <c r="AG45" i="17"/>
  <c r="AG37" i="17"/>
  <c r="AG108" i="17"/>
  <c r="AG16" i="17"/>
  <c r="I13" i="20"/>
  <c r="U13" i="20" s="1"/>
  <c r="V13" i="20" s="1"/>
  <c r="Y13" i="20" s="1"/>
  <c r="L12" i="10"/>
  <c r="C149" i="14"/>
  <c r="C151" i="14" s="1"/>
  <c r="C153" i="14" s="1"/>
  <c r="C226" i="14"/>
  <c r="C228" i="14" s="1"/>
  <c r="C230" i="14" s="1"/>
  <c r="F333" i="14"/>
  <c r="C326" i="14"/>
  <c r="C70" i="14"/>
  <c r="C72" i="14" s="1"/>
  <c r="D19" i="18" s="1"/>
  <c r="F74" i="14"/>
  <c r="C76" i="14" s="1"/>
  <c r="L13" i="10"/>
  <c r="I14" i="20"/>
  <c r="U14" i="20" s="1"/>
  <c r="V14" i="20" s="1"/>
  <c r="Y14" i="20" s="1"/>
  <c r="I15" i="20"/>
  <c r="U15" i="20" s="1"/>
  <c r="L14" i="10"/>
  <c r="F298" i="14" l="1"/>
  <c r="C300" i="14" s="1"/>
  <c r="F290" i="14"/>
  <c r="C292" i="14" s="1"/>
  <c r="C294" i="14" s="1"/>
  <c r="C296" i="14" s="1"/>
  <c r="B26" i="18" s="1"/>
  <c r="C20" i="6" s="1"/>
  <c r="T112" i="17"/>
  <c r="X112" i="17"/>
  <c r="C103" i="14"/>
  <c r="C105" i="14" s="1"/>
  <c r="C107" i="14" s="1"/>
  <c r="C109" i="14" s="1"/>
  <c r="C111" i="14" s="1"/>
  <c r="C125" i="14"/>
  <c r="C127" i="14" s="1"/>
  <c r="C129" i="14" s="1"/>
  <c r="C131" i="14" s="1"/>
  <c r="C133" i="14" s="1"/>
  <c r="C135" i="14" s="1"/>
  <c r="C139" i="14" s="1"/>
  <c r="C141" i="14" s="1"/>
  <c r="AC112" i="17"/>
  <c r="H25" i="10"/>
  <c r="H111" i="10" s="1"/>
  <c r="AC111" i="17"/>
  <c r="AF111" i="17"/>
  <c r="K25" i="10"/>
  <c r="AL111" i="17"/>
  <c r="AG111" i="17"/>
  <c r="G25" i="10"/>
  <c r="AA111" i="17"/>
  <c r="Y25" i="17"/>
  <c r="Y112" i="17" s="1"/>
  <c r="X111" i="17"/>
  <c r="V25" i="17"/>
  <c r="G16" i="10"/>
  <c r="AA112" i="17"/>
  <c r="AH54" i="17"/>
  <c r="AH62" i="17"/>
  <c r="AH44" i="17"/>
  <c r="AH48" i="17"/>
  <c r="AH39" i="17"/>
  <c r="AH108" i="17"/>
  <c r="AH79" i="17"/>
  <c r="AH60" i="17"/>
  <c r="AH61" i="17"/>
  <c r="AH43" i="17"/>
  <c r="AH102" i="17"/>
  <c r="AH18" i="17"/>
  <c r="AH25" i="17"/>
  <c r="AH100" i="17"/>
  <c r="AH38" i="17"/>
  <c r="AH24" i="17"/>
  <c r="AH95" i="17"/>
  <c r="AH74" i="17"/>
  <c r="AH35" i="17"/>
  <c r="AH46" i="17"/>
  <c r="AH20" i="17"/>
  <c r="AH99" i="17"/>
  <c r="AH55" i="17"/>
  <c r="AH93" i="17"/>
  <c r="AH71" i="17"/>
  <c r="AH40" i="17"/>
  <c r="AH23" i="17"/>
  <c r="AH59" i="17"/>
  <c r="AH89" i="17"/>
  <c r="AH91" i="17"/>
  <c r="AH16" i="17"/>
  <c r="AH69" i="17"/>
  <c r="AH98" i="17"/>
  <c r="AH41" i="17"/>
  <c r="AH32" i="17"/>
  <c r="AH66" i="17"/>
  <c r="AH49" i="17"/>
  <c r="AH58" i="17"/>
  <c r="AH101" i="17"/>
  <c r="AH63" i="17"/>
  <c r="AH72" i="17"/>
  <c r="AH75" i="17"/>
  <c r="AH96" i="17"/>
  <c r="AH109" i="17"/>
  <c r="AH86" i="17"/>
  <c r="AH85" i="17"/>
  <c r="AH92" i="17"/>
  <c r="AH87" i="17"/>
  <c r="AH83" i="17"/>
  <c r="AH65" i="17"/>
  <c r="AH97" i="17"/>
  <c r="AH82" i="17"/>
  <c r="AH33" i="17"/>
  <c r="AH57" i="17"/>
  <c r="AH36" i="17"/>
  <c r="AH29" i="17"/>
  <c r="AH51" i="17"/>
  <c r="AH53" i="17"/>
  <c r="AH103" i="17"/>
  <c r="AH45" i="17"/>
  <c r="AH37" i="17"/>
  <c r="AH50" i="17"/>
  <c r="AH67" i="17"/>
  <c r="AH78" i="17"/>
  <c r="AH76" i="17"/>
  <c r="AH110" i="17"/>
  <c r="AH73" i="17"/>
  <c r="AH47" i="17"/>
  <c r="AH21" i="17"/>
  <c r="AH34" i="17"/>
  <c r="AH107" i="17"/>
  <c r="AH104" i="17"/>
  <c r="AH81" i="17"/>
  <c r="AH90" i="17"/>
  <c r="AH70" i="17"/>
  <c r="AH42" i="17"/>
  <c r="AH106" i="17"/>
  <c r="AH77" i="17"/>
  <c r="AH64" i="17"/>
  <c r="AH94" i="17"/>
  <c r="AH22" i="17"/>
  <c r="AH105" i="17"/>
  <c r="AH27" i="17"/>
  <c r="AH19" i="17"/>
  <c r="AH28" i="17"/>
  <c r="AH17" i="17"/>
  <c r="AH88" i="17"/>
  <c r="AH30" i="17"/>
  <c r="AH68" i="17"/>
  <c r="AH80" i="17"/>
  <c r="AH84" i="17"/>
  <c r="AH26" i="17"/>
  <c r="AH52" i="17"/>
  <c r="AH31" i="17"/>
  <c r="AH56" i="17"/>
  <c r="V15" i="20"/>
  <c r="Y15" i="20" s="1"/>
  <c r="F17" i="10"/>
  <c r="C334" i="14"/>
  <c r="I337" i="14"/>
  <c r="AG112" i="17"/>
  <c r="AF112" i="17"/>
  <c r="AL112" i="17"/>
  <c r="K16" i="10"/>
  <c r="W17" i="17"/>
  <c r="C25" i="10" l="1"/>
  <c r="C111" i="10" s="1"/>
  <c r="AO25" i="17"/>
  <c r="AO113" i="17" s="1"/>
  <c r="G111" i="10"/>
  <c r="K111" i="10"/>
  <c r="E14" i="30" s="1"/>
  <c r="G14" i="30" s="1"/>
  <c r="H14" i="30" s="1"/>
  <c r="W25" i="17"/>
  <c r="W111" i="17" s="1"/>
  <c r="C115" i="14"/>
  <c r="C117" i="14" s="1"/>
  <c r="D27" i="18" s="1"/>
  <c r="F119" i="14"/>
  <c r="C121" i="14" s="1"/>
  <c r="V112" i="17"/>
  <c r="C18" i="14" s="1"/>
  <c r="F96" i="14" s="1"/>
  <c r="C98" i="14" s="1"/>
  <c r="AH111" i="17"/>
  <c r="V111" i="17"/>
  <c r="E40" i="8" s="1"/>
  <c r="E41" i="8" s="1"/>
  <c r="V113" i="17"/>
  <c r="Y113" i="17"/>
  <c r="F25" i="10"/>
  <c r="F111" i="10" s="1"/>
  <c r="Y111" i="17"/>
  <c r="F342" i="14"/>
  <c r="I346" i="14"/>
  <c r="C339" i="14"/>
  <c r="C341" i="14" s="1"/>
  <c r="AH112" i="17"/>
  <c r="AI105" i="17"/>
  <c r="AI47" i="17"/>
  <c r="AI41" i="17"/>
  <c r="AI97" i="17"/>
  <c r="AI16" i="17"/>
  <c r="AI76" i="17"/>
  <c r="AI100" i="17"/>
  <c r="AI27" i="17"/>
  <c r="AI39" i="17"/>
  <c r="AI52" i="17"/>
  <c r="AI36" i="17"/>
  <c r="AI77" i="17"/>
  <c r="AI49" i="17"/>
  <c r="AI20" i="17"/>
  <c r="AI94" i="17"/>
  <c r="AI73" i="17"/>
  <c r="AI98" i="17"/>
  <c r="AI84" i="17"/>
  <c r="AI58" i="17"/>
  <c r="AI110" i="17"/>
  <c r="AI23" i="17"/>
  <c r="AI78" i="17"/>
  <c r="AI93" i="17"/>
  <c r="AI96" i="17"/>
  <c r="AI109" i="17"/>
  <c r="AI64" i="17"/>
  <c r="AI61" i="17"/>
  <c r="AI45" i="17"/>
  <c r="AI46" i="17"/>
  <c r="AI108" i="17"/>
  <c r="AI33" i="17"/>
  <c r="AI21" i="17"/>
  <c r="AI106" i="17"/>
  <c r="AI37" i="17"/>
  <c r="AI91" i="17"/>
  <c r="AI65" i="17"/>
  <c r="AI32" i="17"/>
  <c r="AI88" i="17"/>
  <c r="AI30" i="17"/>
  <c r="AI101" i="17"/>
  <c r="AI86" i="17"/>
  <c r="AI22" i="17"/>
  <c r="AI68" i="17"/>
  <c r="AI44" i="17"/>
  <c r="AI62" i="17"/>
  <c r="AI29" i="17"/>
  <c r="AI99" i="17"/>
  <c r="AI40" i="17"/>
  <c r="AI69" i="17"/>
  <c r="AI60" i="17"/>
  <c r="AI74" i="17"/>
  <c r="AI67" i="17"/>
  <c r="AI19" i="17"/>
  <c r="AI83" i="17"/>
  <c r="AI103" i="17"/>
  <c r="AI89" i="17"/>
  <c r="AI66" i="17"/>
  <c r="AI48" i="17"/>
  <c r="AI28" i="17"/>
  <c r="AI75" i="17"/>
  <c r="AI43" i="17"/>
  <c r="AI72" i="17"/>
  <c r="AI24" i="17"/>
  <c r="AI50" i="17"/>
  <c r="AI102" i="17"/>
  <c r="AI25" i="17"/>
  <c r="AI53" i="17"/>
  <c r="AI95" i="17"/>
  <c r="AI71" i="17"/>
  <c r="AI56" i="17"/>
  <c r="AI107" i="17"/>
  <c r="AI57" i="17"/>
  <c r="AI17" i="17"/>
  <c r="AI87" i="17"/>
  <c r="AI85" i="17"/>
  <c r="AI51" i="17"/>
  <c r="AI18" i="17"/>
  <c r="AI35" i="17"/>
  <c r="AI80" i="17"/>
  <c r="AI34" i="17"/>
  <c r="AI90" i="17"/>
  <c r="AI54" i="17"/>
  <c r="AI42" i="17"/>
  <c r="AI59" i="17"/>
  <c r="AI70" i="17"/>
  <c r="AI31" i="17"/>
  <c r="AI92" i="17"/>
  <c r="AI81" i="17"/>
  <c r="AI63" i="17"/>
  <c r="AI104" i="17"/>
  <c r="AI55" i="17"/>
  <c r="AI79" i="17"/>
  <c r="AI26" i="17"/>
  <c r="AI38" i="17"/>
  <c r="AI82" i="17"/>
  <c r="C181" i="14" l="1"/>
  <c r="C183" i="14" s="1"/>
  <c r="C185" i="14" s="1"/>
  <c r="W112" i="17"/>
  <c r="W113" i="17"/>
  <c r="B40" i="8"/>
  <c r="B41" i="8" s="1"/>
  <c r="C19" i="14"/>
  <c r="AI111" i="17"/>
  <c r="E17" i="30"/>
  <c r="G17" i="30" s="1"/>
  <c r="H17" i="30" s="1"/>
  <c r="C343" i="14"/>
  <c r="AD18" i="17" s="1"/>
  <c r="C348" i="14"/>
  <c r="C350" i="14" s="1"/>
  <c r="F351" i="14"/>
  <c r="AI112" i="17"/>
  <c r="L230" i="14"/>
  <c r="C232" i="14" s="1"/>
  <c r="C234" i="14" s="1"/>
  <c r="K23" i="18"/>
  <c r="M23" i="18" s="1"/>
  <c r="O23" i="18" s="1"/>
  <c r="F23" i="18" s="1"/>
  <c r="H17" i="6" s="1"/>
  <c r="I17" i="6" s="1"/>
  <c r="F153" i="14"/>
  <c r="C155" i="14" s="1"/>
  <c r="B23" i="18"/>
  <c r="C17" i="6" s="1"/>
  <c r="AD104" i="17" l="1"/>
  <c r="M29" i="18"/>
  <c r="O29" i="18" s="1"/>
  <c r="F29" i="18" s="1"/>
  <c r="H23" i="6" s="1"/>
  <c r="I23" i="6" s="1"/>
  <c r="C187" i="14"/>
  <c r="AD50" i="17"/>
  <c r="AD79" i="17"/>
  <c r="AD32" i="17"/>
  <c r="AD109" i="17"/>
  <c r="AD61" i="17"/>
  <c r="AD78" i="17"/>
  <c r="AD101" i="17"/>
  <c r="AD45" i="17"/>
  <c r="AD17" i="17"/>
  <c r="AD72" i="17"/>
  <c r="AD81" i="17"/>
  <c r="AD59" i="17"/>
  <c r="AD24" i="17"/>
  <c r="AD63" i="17"/>
  <c r="AD80" i="17"/>
  <c r="AD64" i="17"/>
  <c r="AD65" i="17"/>
  <c r="AD37" i="17"/>
  <c r="AD76" i="17"/>
  <c r="AD82" i="17"/>
  <c r="AD39" i="17"/>
  <c r="AD93" i="17"/>
  <c r="AD23" i="17"/>
  <c r="AD55" i="17"/>
  <c r="AD41" i="17"/>
  <c r="AD106" i="17"/>
  <c r="AD88" i="17"/>
  <c r="AD26" i="17"/>
  <c r="AD44" i="17"/>
  <c r="AD75" i="17"/>
  <c r="AD54" i="17"/>
  <c r="AD90" i="17"/>
  <c r="AD34" i="17"/>
  <c r="AD60" i="17"/>
  <c r="AD100" i="17"/>
  <c r="AD35" i="17"/>
  <c r="AD20" i="17"/>
  <c r="AD86" i="17"/>
  <c r="AD57" i="17"/>
  <c r="AD69" i="17"/>
  <c r="AD92" i="17"/>
  <c r="AD36" i="17"/>
  <c r="AD66" i="17"/>
  <c r="AD83" i="17"/>
  <c r="AD58" i="17"/>
  <c r="AD46" i="17"/>
  <c r="AD19" i="17"/>
  <c r="AD71" i="17"/>
  <c r="AD97" i="17"/>
  <c r="AD29" i="17"/>
  <c r="AD56" i="17"/>
  <c r="AD85" i="17"/>
  <c r="AD70" i="17"/>
  <c r="AD53" i="17"/>
  <c r="AD68" i="17"/>
  <c r="AD33" i="17"/>
  <c r="AD30" i="17"/>
  <c r="AD73" i="17"/>
  <c r="AD27" i="17"/>
  <c r="AD98" i="17"/>
  <c r="AD87" i="17"/>
  <c r="AD25" i="17"/>
  <c r="AD105" i="17"/>
  <c r="AD103" i="17"/>
  <c r="AD28" i="17"/>
  <c r="AD31" i="17"/>
  <c r="AD62" i="17"/>
  <c r="AD47" i="17"/>
  <c r="AD49" i="17"/>
  <c r="AD21" i="17"/>
  <c r="AD77" i="17"/>
  <c r="AD48" i="17"/>
  <c r="AD110" i="17"/>
  <c r="AD43" i="17"/>
  <c r="AD94" i="17"/>
  <c r="AD95" i="17"/>
  <c r="AD52" i="17"/>
  <c r="AD91" i="17"/>
  <c r="AD67" i="17"/>
  <c r="AD42" i="17"/>
  <c r="AD84" i="17"/>
  <c r="AD51" i="17"/>
  <c r="AD89" i="17"/>
  <c r="AD102" i="17"/>
  <c r="AD96" i="17"/>
  <c r="AD16" i="17"/>
  <c r="AD74" i="17"/>
  <c r="AD99" i="17"/>
  <c r="AD38" i="17"/>
  <c r="AD22" i="17"/>
  <c r="AD107" i="17"/>
  <c r="AD40" i="17"/>
  <c r="AD108" i="17"/>
  <c r="C161" i="14"/>
  <c r="C163" i="14" s="1"/>
  <c r="C157" i="14"/>
  <c r="C159" i="14" s="1"/>
  <c r="C236" i="14"/>
  <c r="C238" i="14"/>
  <c r="C352" i="14"/>
  <c r="AD111" i="17" l="1"/>
  <c r="AD112" i="17"/>
  <c r="C242" i="14"/>
  <c r="C244" i="14" s="1"/>
  <c r="C240" i="14"/>
  <c r="C173" i="14"/>
  <c r="C175" i="14" s="1"/>
  <c r="C177" i="14" s="1"/>
  <c r="F165" i="14"/>
  <c r="AE105" i="17"/>
  <c r="I105" i="10" s="1"/>
  <c r="I106" i="20" s="1"/>
  <c r="U106" i="20" s="1"/>
  <c r="V106" i="20" s="1"/>
  <c r="AE74" i="17"/>
  <c r="I74" i="10" s="1"/>
  <c r="I75" i="20" s="1"/>
  <c r="U75" i="20" s="1"/>
  <c r="V75" i="20" s="1"/>
  <c r="AE55" i="17"/>
  <c r="I55" i="10" s="1"/>
  <c r="I56" i="20" s="1"/>
  <c r="U56" i="20" s="1"/>
  <c r="V56" i="20" s="1"/>
  <c r="AE42" i="17"/>
  <c r="I42" i="10" s="1"/>
  <c r="I43" i="20" s="1"/>
  <c r="U43" i="20" s="1"/>
  <c r="V43" i="20" s="1"/>
  <c r="AE32" i="17"/>
  <c r="I32" i="10" s="1"/>
  <c r="I33" i="20" s="1"/>
  <c r="U33" i="20" s="1"/>
  <c r="V33" i="20" s="1"/>
  <c r="AE98" i="17"/>
  <c r="I98" i="10" s="1"/>
  <c r="I99" i="20" s="1"/>
  <c r="U99" i="20" s="1"/>
  <c r="V99" i="20" s="1"/>
  <c r="AE73" i="17"/>
  <c r="I73" i="10" s="1"/>
  <c r="I74" i="20" s="1"/>
  <c r="U74" i="20" s="1"/>
  <c r="V74" i="20" s="1"/>
  <c r="AE84" i="17"/>
  <c r="I84" i="10" s="1"/>
  <c r="I85" i="20" s="1"/>
  <c r="U85" i="20" s="1"/>
  <c r="V85" i="20" s="1"/>
  <c r="AE57" i="17"/>
  <c r="I57" i="10" s="1"/>
  <c r="I58" i="20" s="1"/>
  <c r="U58" i="20" s="1"/>
  <c r="V58" i="20" s="1"/>
  <c r="AE34" i="17"/>
  <c r="I34" i="10" s="1"/>
  <c r="I35" i="20" s="1"/>
  <c r="U35" i="20" s="1"/>
  <c r="V35" i="20" s="1"/>
  <c r="AE75" i="17"/>
  <c r="I75" i="10" s="1"/>
  <c r="I76" i="20" s="1"/>
  <c r="U76" i="20" s="1"/>
  <c r="V76" i="20" s="1"/>
  <c r="AE78" i="17"/>
  <c r="I78" i="10" s="1"/>
  <c r="I79" i="20" s="1"/>
  <c r="U79" i="20" s="1"/>
  <c r="V79" i="20" s="1"/>
  <c r="AE80" i="17"/>
  <c r="I80" i="10" s="1"/>
  <c r="I81" i="20" s="1"/>
  <c r="U81" i="20" s="1"/>
  <c r="V81" i="20" s="1"/>
  <c r="AE60" i="17"/>
  <c r="I60" i="10" s="1"/>
  <c r="I61" i="20" s="1"/>
  <c r="U61" i="20" s="1"/>
  <c r="V61" i="20" s="1"/>
  <c r="AE41" i="17"/>
  <c r="I41" i="10" s="1"/>
  <c r="I42" i="20" s="1"/>
  <c r="U42" i="20" s="1"/>
  <c r="V42" i="20" s="1"/>
  <c r="AE66" i="17"/>
  <c r="I66" i="10" s="1"/>
  <c r="I67" i="20" s="1"/>
  <c r="U67" i="20" s="1"/>
  <c r="V67" i="20" s="1"/>
  <c r="AE70" i="17"/>
  <c r="I70" i="10" s="1"/>
  <c r="I71" i="20" s="1"/>
  <c r="U71" i="20" s="1"/>
  <c r="V71" i="20" s="1"/>
  <c r="AE44" i="17"/>
  <c r="I44" i="10" s="1"/>
  <c r="I45" i="20" s="1"/>
  <c r="U45" i="20" s="1"/>
  <c r="V45" i="20" s="1"/>
  <c r="AE67" i="17"/>
  <c r="I67" i="10" s="1"/>
  <c r="I68" i="20" s="1"/>
  <c r="U68" i="20" s="1"/>
  <c r="V68" i="20" s="1"/>
  <c r="AE27" i="17"/>
  <c r="I27" i="10" s="1"/>
  <c r="I28" i="20" s="1"/>
  <c r="U28" i="20" s="1"/>
  <c r="V28" i="20" s="1"/>
  <c r="AE29" i="17"/>
  <c r="I29" i="10" s="1"/>
  <c r="I30" i="20" s="1"/>
  <c r="U30" i="20" s="1"/>
  <c r="V30" i="20" s="1"/>
  <c r="AE35" i="17"/>
  <c r="I35" i="10" s="1"/>
  <c r="I36" i="20" s="1"/>
  <c r="U36" i="20" s="1"/>
  <c r="V36" i="20" s="1"/>
  <c r="AE94" i="17"/>
  <c r="I94" i="10" s="1"/>
  <c r="I95" i="20" s="1"/>
  <c r="U95" i="20" s="1"/>
  <c r="V95" i="20" s="1"/>
  <c r="AE64" i="17"/>
  <c r="I64" i="10" s="1"/>
  <c r="I65" i="20" s="1"/>
  <c r="U65" i="20" s="1"/>
  <c r="V65" i="20" s="1"/>
  <c r="AE90" i="17"/>
  <c r="I90" i="10" s="1"/>
  <c r="I91" i="20" s="1"/>
  <c r="U91" i="20" s="1"/>
  <c r="V91" i="20" s="1"/>
  <c r="AE22" i="17"/>
  <c r="I22" i="10" s="1"/>
  <c r="I23" i="20" s="1"/>
  <c r="U23" i="20" s="1"/>
  <c r="V23" i="20" s="1"/>
  <c r="AE45" i="17"/>
  <c r="I45" i="10" s="1"/>
  <c r="I46" i="20" s="1"/>
  <c r="U46" i="20" s="1"/>
  <c r="V46" i="20" s="1"/>
  <c r="AE18" i="17"/>
  <c r="I18" i="10" s="1"/>
  <c r="I19" i="20" s="1"/>
  <c r="U19" i="20" s="1"/>
  <c r="V19" i="20" s="1"/>
  <c r="AE109" i="17"/>
  <c r="I109" i="10" s="1"/>
  <c r="I110" i="20" s="1"/>
  <c r="U110" i="20" s="1"/>
  <c r="V110" i="20" s="1"/>
  <c r="AE30" i="17"/>
  <c r="I30" i="10" s="1"/>
  <c r="I31" i="20" s="1"/>
  <c r="U31" i="20" s="1"/>
  <c r="V31" i="20" s="1"/>
  <c r="AE36" i="17"/>
  <c r="I36" i="10" s="1"/>
  <c r="I37" i="20" s="1"/>
  <c r="U37" i="20" s="1"/>
  <c r="V37" i="20" s="1"/>
  <c r="AE93" i="17"/>
  <c r="I93" i="10" s="1"/>
  <c r="I94" i="20" s="1"/>
  <c r="U94" i="20" s="1"/>
  <c r="V94" i="20" s="1"/>
  <c r="AE54" i="17"/>
  <c r="I54" i="10" s="1"/>
  <c r="I55" i="20" s="1"/>
  <c r="U55" i="20" s="1"/>
  <c r="V55" i="20" s="1"/>
  <c r="AE77" i="17"/>
  <c r="I77" i="10" s="1"/>
  <c r="I78" i="20" s="1"/>
  <c r="U78" i="20" s="1"/>
  <c r="V78" i="20" s="1"/>
  <c r="AE95" i="17"/>
  <c r="I95" i="10" s="1"/>
  <c r="I96" i="20" s="1"/>
  <c r="U96" i="20" s="1"/>
  <c r="V96" i="20" s="1"/>
  <c r="AE24" i="17"/>
  <c r="I24" i="10" s="1"/>
  <c r="I25" i="20" s="1"/>
  <c r="U25" i="20" s="1"/>
  <c r="V25" i="20" s="1"/>
  <c r="AE71" i="17"/>
  <c r="I71" i="10" s="1"/>
  <c r="I72" i="20" s="1"/>
  <c r="U72" i="20" s="1"/>
  <c r="V72" i="20" s="1"/>
  <c r="AE62" i="17"/>
  <c r="I62" i="10" s="1"/>
  <c r="I63" i="20" s="1"/>
  <c r="U63" i="20" s="1"/>
  <c r="V63" i="20" s="1"/>
  <c r="AE106" i="17"/>
  <c r="I106" i="10" s="1"/>
  <c r="I107" i="20" s="1"/>
  <c r="U107" i="20" s="1"/>
  <c r="V107" i="20" s="1"/>
  <c r="AE97" i="17"/>
  <c r="I97" i="10" s="1"/>
  <c r="I98" i="20" s="1"/>
  <c r="U98" i="20" s="1"/>
  <c r="V98" i="20" s="1"/>
  <c r="AE39" i="17"/>
  <c r="I39" i="10" s="1"/>
  <c r="I40" i="20" s="1"/>
  <c r="U40" i="20" s="1"/>
  <c r="V40" i="20" s="1"/>
  <c r="AE63" i="17"/>
  <c r="I63" i="10" s="1"/>
  <c r="I64" i="20" s="1"/>
  <c r="U64" i="20" s="1"/>
  <c r="V64" i="20" s="1"/>
  <c r="AE58" i="17"/>
  <c r="I58" i="10" s="1"/>
  <c r="I59" i="20" s="1"/>
  <c r="U59" i="20" s="1"/>
  <c r="V59" i="20" s="1"/>
  <c r="AE104" i="17"/>
  <c r="I104" i="10" s="1"/>
  <c r="I105" i="20" s="1"/>
  <c r="U105" i="20" s="1"/>
  <c r="V105" i="20" s="1"/>
  <c r="AE101" i="17"/>
  <c r="I101" i="10" s="1"/>
  <c r="I102" i="20" s="1"/>
  <c r="U102" i="20" s="1"/>
  <c r="V102" i="20" s="1"/>
  <c r="AE46" i="17"/>
  <c r="I46" i="10" s="1"/>
  <c r="I47" i="20" s="1"/>
  <c r="U47" i="20" s="1"/>
  <c r="V47" i="20" s="1"/>
  <c r="AE88" i="17"/>
  <c r="I88" i="10" s="1"/>
  <c r="I89" i="20" s="1"/>
  <c r="U89" i="20" s="1"/>
  <c r="V89" i="20" s="1"/>
  <c r="AE91" i="17"/>
  <c r="I91" i="10" s="1"/>
  <c r="I92" i="20" s="1"/>
  <c r="U92" i="20" s="1"/>
  <c r="V92" i="20" s="1"/>
  <c r="AE81" i="17"/>
  <c r="I81" i="10" s="1"/>
  <c r="I82" i="20" s="1"/>
  <c r="U82" i="20" s="1"/>
  <c r="V82" i="20" s="1"/>
  <c r="AE76" i="17"/>
  <c r="I76" i="10" s="1"/>
  <c r="I77" i="20" s="1"/>
  <c r="U77" i="20" s="1"/>
  <c r="V77" i="20" s="1"/>
  <c r="AE26" i="17"/>
  <c r="I26" i="10" s="1"/>
  <c r="I27" i="20" s="1"/>
  <c r="U27" i="20" s="1"/>
  <c r="V27" i="20" s="1"/>
  <c r="AE21" i="17"/>
  <c r="I21" i="10" s="1"/>
  <c r="I22" i="20" s="1"/>
  <c r="U22" i="20" s="1"/>
  <c r="V22" i="20" s="1"/>
  <c r="AE69" i="17"/>
  <c r="I69" i="10" s="1"/>
  <c r="I70" i="20" s="1"/>
  <c r="U70" i="20" s="1"/>
  <c r="V70" i="20" s="1"/>
  <c r="AE37" i="17"/>
  <c r="I37" i="10" s="1"/>
  <c r="I38" i="20" s="1"/>
  <c r="U38" i="20" s="1"/>
  <c r="V38" i="20" s="1"/>
  <c r="AE68" i="17"/>
  <c r="I68" i="10" s="1"/>
  <c r="I69" i="20" s="1"/>
  <c r="U69" i="20" s="1"/>
  <c r="V69" i="20" s="1"/>
  <c r="AE65" i="17"/>
  <c r="I65" i="10" s="1"/>
  <c r="I66" i="20" s="1"/>
  <c r="U66" i="20" s="1"/>
  <c r="V66" i="20" s="1"/>
  <c r="AE47" i="17"/>
  <c r="I47" i="10" s="1"/>
  <c r="I48" i="20" s="1"/>
  <c r="U48" i="20" s="1"/>
  <c r="V48" i="20" s="1"/>
  <c r="AE56" i="17"/>
  <c r="I56" i="10" s="1"/>
  <c r="I57" i="20" s="1"/>
  <c r="U57" i="20" s="1"/>
  <c r="V57" i="20" s="1"/>
  <c r="AE48" i="17"/>
  <c r="I48" i="10" s="1"/>
  <c r="I49" i="20" s="1"/>
  <c r="U49" i="20" s="1"/>
  <c r="V49" i="20" s="1"/>
  <c r="AE96" i="17"/>
  <c r="I96" i="10" s="1"/>
  <c r="I97" i="20" s="1"/>
  <c r="U97" i="20" s="1"/>
  <c r="V97" i="20" s="1"/>
  <c r="AE72" i="17"/>
  <c r="I72" i="10" s="1"/>
  <c r="I73" i="20" s="1"/>
  <c r="U73" i="20" s="1"/>
  <c r="V73" i="20" s="1"/>
  <c r="AE99" i="17"/>
  <c r="I99" i="10" s="1"/>
  <c r="I100" i="20" s="1"/>
  <c r="U100" i="20" s="1"/>
  <c r="V100" i="20" s="1"/>
  <c r="AE85" i="17"/>
  <c r="I85" i="10" s="1"/>
  <c r="I86" i="20" s="1"/>
  <c r="U86" i="20" s="1"/>
  <c r="V86" i="20" s="1"/>
  <c r="AE51" i="17"/>
  <c r="I51" i="10" s="1"/>
  <c r="I52" i="20" s="1"/>
  <c r="U52" i="20" s="1"/>
  <c r="V52" i="20" s="1"/>
  <c r="AE52" i="17"/>
  <c r="I52" i="10" s="1"/>
  <c r="I53" i="20" s="1"/>
  <c r="U53" i="20" s="1"/>
  <c r="V53" i="20" s="1"/>
  <c r="AE53" i="17"/>
  <c r="I53" i="10" s="1"/>
  <c r="I54" i="20" s="1"/>
  <c r="U54" i="20" s="1"/>
  <c r="V54" i="20" s="1"/>
  <c r="AE23" i="17"/>
  <c r="I23" i="10" s="1"/>
  <c r="I24" i="20" s="1"/>
  <c r="U24" i="20" s="1"/>
  <c r="V24" i="20" s="1"/>
  <c r="AE49" i="17"/>
  <c r="I49" i="10" s="1"/>
  <c r="I50" i="20" s="1"/>
  <c r="U50" i="20" s="1"/>
  <c r="V50" i="20" s="1"/>
  <c r="AE103" i="17"/>
  <c r="I103" i="10" s="1"/>
  <c r="I104" i="20" s="1"/>
  <c r="U104" i="20" s="1"/>
  <c r="V104" i="20" s="1"/>
  <c r="AE89" i="17"/>
  <c r="I89" i="10" s="1"/>
  <c r="I90" i="20" s="1"/>
  <c r="U90" i="20" s="1"/>
  <c r="V90" i="20" s="1"/>
  <c r="AE110" i="17"/>
  <c r="I110" i="10" s="1"/>
  <c r="I111" i="20" s="1"/>
  <c r="U111" i="20" s="1"/>
  <c r="V111" i="20" s="1"/>
  <c r="AE92" i="17"/>
  <c r="I92" i="10" s="1"/>
  <c r="I93" i="20" s="1"/>
  <c r="U93" i="20" s="1"/>
  <c r="V93" i="20" s="1"/>
  <c r="AE102" i="17"/>
  <c r="I102" i="10" s="1"/>
  <c r="I103" i="20" s="1"/>
  <c r="U103" i="20" s="1"/>
  <c r="V103" i="20" s="1"/>
  <c r="AE20" i="17"/>
  <c r="I20" i="10" s="1"/>
  <c r="I21" i="20" s="1"/>
  <c r="U21" i="20" s="1"/>
  <c r="V21" i="20" s="1"/>
  <c r="AE17" i="17"/>
  <c r="I17" i="10" s="1"/>
  <c r="I18" i="20" s="1"/>
  <c r="U18" i="20" s="1"/>
  <c r="V18" i="20" s="1"/>
  <c r="AE50" i="17"/>
  <c r="I50" i="10" s="1"/>
  <c r="I51" i="20" s="1"/>
  <c r="U51" i="20" s="1"/>
  <c r="V51" i="20" s="1"/>
  <c r="AE43" i="17"/>
  <c r="I43" i="10" s="1"/>
  <c r="I44" i="20" s="1"/>
  <c r="U44" i="20" s="1"/>
  <c r="V44" i="20" s="1"/>
  <c r="AE59" i="17"/>
  <c r="I59" i="10" s="1"/>
  <c r="I60" i="20" s="1"/>
  <c r="U60" i="20" s="1"/>
  <c r="V60" i="20" s="1"/>
  <c r="AE79" i="17"/>
  <c r="I79" i="10" s="1"/>
  <c r="I80" i="20" s="1"/>
  <c r="U80" i="20" s="1"/>
  <c r="V80" i="20" s="1"/>
  <c r="AE61" i="17"/>
  <c r="I61" i="10" s="1"/>
  <c r="I62" i="20" s="1"/>
  <c r="U62" i="20" s="1"/>
  <c r="V62" i="20" s="1"/>
  <c r="AE87" i="17"/>
  <c r="I87" i="10" s="1"/>
  <c r="I88" i="20" s="1"/>
  <c r="U88" i="20" s="1"/>
  <c r="V88" i="20" s="1"/>
  <c r="AE107" i="17"/>
  <c r="I107" i="10" s="1"/>
  <c r="I108" i="20" s="1"/>
  <c r="U108" i="20" s="1"/>
  <c r="V108" i="20" s="1"/>
  <c r="AE33" i="17"/>
  <c r="I33" i="10" s="1"/>
  <c r="I34" i="20" s="1"/>
  <c r="U34" i="20" s="1"/>
  <c r="V34" i="20" s="1"/>
  <c r="AE16" i="17"/>
  <c r="AE19" i="17"/>
  <c r="I19" i="10" s="1"/>
  <c r="I20" i="20" s="1"/>
  <c r="U20" i="20" s="1"/>
  <c r="V20" i="20" s="1"/>
  <c r="AE38" i="17"/>
  <c r="I38" i="10" s="1"/>
  <c r="I39" i="20" s="1"/>
  <c r="U39" i="20" s="1"/>
  <c r="V39" i="20" s="1"/>
  <c r="AE83" i="17"/>
  <c r="I83" i="10" s="1"/>
  <c r="I84" i="20" s="1"/>
  <c r="U84" i="20" s="1"/>
  <c r="V84" i="20" s="1"/>
  <c r="AE31" i="17"/>
  <c r="I31" i="10" s="1"/>
  <c r="I32" i="20" s="1"/>
  <c r="U32" i="20" s="1"/>
  <c r="V32" i="20" s="1"/>
  <c r="AE82" i="17"/>
  <c r="I82" i="10" s="1"/>
  <c r="I83" i="20" s="1"/>
  <c r="U83" i="20" s="1"/>
  <c r="V83" i="20" s="1"/>
  <c r="AE86" i="17"/>
  <c r="I86" i="10" s="1"/>
  <c r="I87" i="20" s="1"/>
  <c r="U87" i="20" s="1"/>
  <c r="V87" i="20" s="1"/>
  <c r="AE25" i="17"/>
  <c r="AE28" i="17"/>
  <c r="I28" i="10" s="1"/>
  <c r="I29" i="20" s="1"/>
  <c r="U29" i="20" s="1"/>
  <c r="V29" i="20" s="1"/>
  <c r="AE40" i="17"/>
  <c r="I40" i="10" s="1"/>
  <c r="I41" i="20" s="1"/>
  <c r="U41" i="20" s="1"/>
  <c r="V41" i="20" s="1"/>
  <c r="AE108" i="17"/>
  <c r="I108" i="10" s="1"/>
  <c r="I109" i="20" s="1"/>
  <c r="U109" i="20" s="1"/>
  <c r="V109" i="20" s="1"/>
  <c r="AE100" i="17"/>
  <c r="I100" i="10" s="1"/>
  <c r="I101" i="20" s="1"/>
  <c r="U101" i="20" s="1"/>
  <c r="V101" i="20" s="1"/>
  <c r="C246" i="14"/>
  <c r="C248" i="14" s="1"/>
  <c r="C250" i="14" s="1"/>
  <c r="F356" i="14"/>
  <c r="C358" i="14" s="1"/>
  <c r="C165" i="14"/>
  <c r="C91" i="14"/>
  <c r="C93" i="14" s="1"/>
  <c r="C179" i="14" l="1"/>
  <c r="B29" i="18" s="1"/>
  <c r="C23" i="6" s="1"/>
  <c r="I25" i="10"/>
  <c r="I26" i="20" s="1"/>
  <c r="U26" i="20" s="1"/>
  <c r="V26" i="20" s="1"/>
  <c r="AE111" i="17"/>
  <c r="C189" i="14"/>
  <c r="C191" i="14" s="1"/>
  <c r="K22" i="18"/>
  <c r="M22" i="18" s="1"/>
  <c r="O22" i="18" s="1"/>
  <c r="F22" i="18" s="1"/>
  <c r="H16" i="6" s="1"/>
  <c r="I16" i="6" s="1"/>
  <c r="B22" i="18"/>
  <c r="C16" i="6" s="1"/>
  <c r="AE112" i="17"/>
  <c r="I16" i="10"/>
  <c r="C167" i="14"/>
  <c r="C169" i="14" s="1"/>
  <c r="C171" i="14" s="1"/>
  <c r="C204" i="14" s="1"/>
  <c r="C252" i="14"/>
  <c r="C254" i="14" s="1"/>
  <c r="C258" i="14" s="1"/>
  <c r="C260" i="14" s="1"/>
  <c r="D20" i="18" s="1"/>
  <c r="K20" i="18"/>
  <c r="M20" i="18" s="1"/>
  <c r="O20" i="18" s="1"/>
  <c r="F20" i="18" s="1"/>
  <c r="C360" i="14"/>
  <c r="C362" i="14" s="1"/>
  <c r="K33" i="18"/>
  <c r="M33" i="18" s="1"/>
  <c r="O33" i="18" s="1"/>
  <c r="F33" i="18" s="1"/>
  <c r="H27" i="6" s="1"/>
  <c r="I27" i="6" s="1"/>
  <c r="B33" i="18"/>
  <c r="C27" i="6" s="1"/>
  <c r="B31" i="18" l="1"/>
  <c r="C25" i="6" s="1"/>
  <c r="C206" i="14"/>
  <c r="C208" i="14" s="1"/>
  <c r="K31" i="18"/>
  <c r="M31" i="18" s="1"/>
  <c r="O31" i="18" s="1"/>
  <c r="F31" i="18" s="1"/>
  <c r="H25" i="6" s="1"/>
  <c r="I25" i="6" s="1"/>
  <c r="C364" i="14"/>
  <c r="C366" i="14" s="1"/>
  <c r="C370" i="14" s="1"/>
  <c r="C372" i="14" s="1"/>
  <c r="D32" i="18" s="1"/>
  <c r="K32" i="18"/>
  <c r="M32" i="18" s="1"/>
  <c r="O32" i="18" s="1"/>
  <c r="F32" i="18" s="1"/>
  <c r="H26" i="6" s="1"/>
  <c r="I26" i="6" s="1"/>
  <c r="I17" i="20"/>
  <c r="I111" i="10"/>
  <c r="C26" i="31" s="1"/>
  <c r="C30" i="31" s="1"/>
  <c r="C31" i="31" s="1"/>
  <c r="C32" i="31" s="1"/>
  <c r="H14" i="6"/>
  <c r="I14" i="6" s="1"/>
  <c r="C193" i="14"/>
  <c r="C195" i="14" s="1"/>
  <c r="C199" i="14" s="1"/>
  <c r="C201" i="14" s="1"/>
  <c r="D28" i="18" s="1"/>
  <c r="K28" i="18"/>
  <c r="M28" i="18" s="1"/>
  <c r="O28" i="18" s="1"/>
  <c r="F28" i="18" s="1"/>
  <c r="H22" i="6" s="1"/>
  <c r="I22" i="6" s="1"/>
  <c r="E12" i="30" l="1"/>
  <c r="G12" i="30" s="1"/>
  <c r="H12" i="30" s="1"/>
  <c r="B26" i="30"/>
  <c r="B30" i="30" s="1"/>
  <c r="B31" i="30" s="1"/>
  <c r="B32" i="30" s="1"/>
  <c r="I112" i="20"/>
  <c r="U17" i="20"/>
  <c r="C210" i="14"/>
  <c r="C212" i="14" s="1"/>
  <c r="C216" i="14" s="1"/>
  <c r="C218" i="14" s="1"/>
  <c r="D30" i="18" s="1"/>
  <c r="D40" i="18" s="1"/>
  <c r="D41" i="18" s="1"/>
  <c r="K30" i="18"/>
  <c r="M30" i="18" s="1"/>
  <c r="O30" i="18" s="1"/>
  <c r="F30" i="18" s="1"/>
  <c r="H24" i="6" l="1"/>
  <c r="I24" i="6" s="1"/>
  <c r="I34" i="6" s="1"/>
  <c r="I80" i="6" s="1"/>
  <c r="F40" i="18"/>
  <c r="U112" i="20"/>
  <c r="V17" i="20"/>
  <c r="V112" i="20" s="1"/>
  <c r="H26" i="20" l="1"/>
  <c r="S26" i="20" s="1"/>
  <c r="T26" i="20" s="1"/>
  <c r="B24" i="10"/>
  <c r="H25" i="20" s="1"/>
  <c r="S25" i="20" s="1"/>
  <c r="T25" i="20" s="1"/>
  <c r="H81" i="6"/>
  <c r="I81" i="6" s="1"/>
  <c r="I82" i="6" s="1"/>
  <c r="L4" i="10"/>
  <c r="H16" i="20" l="1"/>
  <c r="B111" i="10"/>
  <c r="E11" i="30" s="1"/>
  <c r="L15" i="10"/>
  <c r="D102" i="10"/>
  <c r="D92" i="10"/>
  <c r="D99" i="10"/>
  <c r="E30" i="10"/>
  <c r="E49" i="10"/>
  <c r="D94" i="10"/>
  <c r="D54" i="10"/>
  <c r="D30" i="10"/>
  <c r="D48" i="10"/>
  <c r="D110" i="10"/>
  <c r="D85" i="10"/>
  <c r="D105" i="10"/>
  <c r="D55" i="10"/>
  <c r="D52" i="10"/>
  <c r="E70" i="10"/>
  <c r="D62" i="10"/>
  <c r="E102" i="10"/>
  <c r="D86" i="10"/>
  <c r="E55" i="10"/>
  <c r="E86" i="10"/>
  <c r="E64" i="10"/>
  <c r="E96" i="10"/>
  <c r="E66" i="10"/>
  <c r="E90" i="10"/>
  <c r="D38" i="10"/>
  <c r="D57" i="10"/>
  <c r="E59" i="10"/>
  <c r="E91" i="10"/>
  <c r="E52" i="10"/>
  <c r="E68" i="10"/>
  <c r="E57" i="10"/>
  <c r="E81" i="10"/>
  <c r="E101" i="10"/>
  <c r="D28" i="10"/>
  <c r="E83" i="10"/>
  <c r="E46" i="10"/>
  <c r="E62" i="10"/>
  <c r="D68" i="10"/>
  <c r="E76" i="10"/>
  <c r="D98" i="10"/>
  <c r="E69" i="10"/>
  <c r="D76" i="10"/>
  <c r="D45" i="10"/>
  <c r="E32" i="10"/>
  <c r="D37" i="10"/>
  <c r="D46" i="10"/>
  <c r="E27" i="10"/>
  <c r="D64" i="10"/>
  <c r="E77" i="10"/>
  <c r="D65" i="10"/>
  <c r="D79" i="10"/>
  <c r="E71" i="10"/>
  <c r="E72" i="10"/>
  <c r="E45" i="10"/>
  <c r="E82" i="10"/>
  <c r="D71" i="10"/>
  <c r="D106" i="10"/>
  <c r="D39" i="10"/>
  <c r="D80" i="10"/>
  <c r="E42" i="10"/>
  <c r="D104" i="10"/>
  <c r="D82" i="10"/>
  <c r="D107" i="10"/>
  <c r="D27" i="10"/>
  <c r="E104" i="10"/>
  <c r="D75" i="10"/>
  <c r="E37" i="10"/>
  <c r="E93" i="10"/>
  <c r="D95" i="10"/>
  <c r="E78" i="10"/>
  <c r="E80" i="10"/>
  <c r="D101" i="10"/>
  <c r="D87" i="10"/>
  <c r="E73" i="10"/>
  <c r="D51" i="10"/>
  <c r="D88" i="10"/>
  <c r="E95" i="10"/>
  <c r="E40" i="10"/>
  <c r="E47" i="10"/>
  <c r="E25" i="10"/>
  <c r="D60" i="10"/>
  <c r="E58" i="10"/>
  <c r="E89" i="10"/>
  <c r="E53" i="10"/>
  <c r="E75" i="10"/>
  <c r="D25" i="10"/>
  <c r="D78" i="10"/>
  <c r="D70" i="10"/>
  <c r="E26" i="10"/>
  <c r="E34" i="10"/>
  <c r="E108" i="10"/>
  <c r="E84" i="10"/>
  <c r="E87" i="10"/>
  <c r="E107" i="10"/>
  <c r="E97" i="10"/>
  <c r="D103" i="10"/>
  <c r="D73" i="10"/>
  <c r="D49" i="10"/>
  <c r="D84" i="10"/>
  <c r="D66" i="10"/>
  <c r="D93" i="10"/>
  <c r="E60" i="10"/>
  <c r="D47" i="10"/>
  <c r="D34" i="10"/>
  <c r="D29" i="10"/>
  <c r="E36" i="10"/>
  <c r="E92" i="10"/>
  <c r="E63" i="10"/>
  <c r="E33" i="10"/>
  <c r="D90" i="10"/>
  <c r="D44" i="10"/>
  <c r="D50" i="10"/>
  <c r="E48" i="10"/>
  <c r="D81" i="10"/>
  <c r="E103" i="10"/>
  <c r="D83" i="10"/>
  <c r="E65" i="10"/>
  <c r="D97" i="10"/>
  <c r="E98" i="10"/>
  <c r="E88" i="10"/>
  <c r="D43" i="10"/>
  <c r="D89" i="10"/>
  <c r="E105" i="10"/>
  <c r="D32" i="10"/>
  <c r="D109" i="10"/>
  <c r="D100" i="10"/>
  <c r="E99" i="10"/>
  <c r="D53" i="10"/>
  <c r="D59" i="10"/>
  <c r="E56" i="10"/>
  <c r="E50" i="10"/>
  <c r="D36" i="10"/>
  <c r="E109" i="10"/>
  <c r="D42" i="10"/>
  <c r="D96" i="10"/>
  <c r="E110" i="10"/>
  <c r="D61" i="10"/>
  <c r="D31" i="10"/>
  <c r="D56" i="10"/>
  <c r="D63" i="10"/>
  <c r="E61" i="10"/>
  <c r="E28" i="10"/>
  <c r="D72" i="10"/>
  <c r="D41" i="10"/>
  <c r="E94" i="10"/>
  <c r="E74" i="10"/>
  <c r="E100" i="10"/>
  <c r="D58" i="10"/>
  <c r="D108" i="10"/>
  <c r="D26" i="10"/>
  <c r="D33" i="10"/>
  <c r="D74" i="10"/>
  <c r="E38" i="10"/>
  <c r="D91" i="10"/>
  <c r="E67" i="10"/>
  <c r="D40" i="10"/>
  <c r="D67" i="10"/>
  <c r="D69" i="10"/>
  <c r="E79" i="10"/>
  <c r="E41" i="10"/>
  <c r="E54" i="10"/>
  <c r="E85" i="10"/>
  <c r="E29" i="10"/>
  <c r="E43" i="10"/>
  <c r="E35" i="10"/>
  <c r="E106" i="10"/>
  <c r="E51" i="10"/>
  <c r="E31" i="10"/>
  <c r="E39" i="10"/>
  <c r="D77" i="10"/>
  <c r="D35" i="10"/>
  <c r="E44" i="10"/>
  <c r="L35" i="10" l="1"/>
  <c r="J36" i="20"/>
  <c r="W36" i="20" s="1"/>
  <c r="L33" i="10"/>
  <c r="J34" i="20"/>
  <c r="W34" i="20" s="1"/>
  <c r="J73" i="20"/>
  <c r="W73" i="20" s="1"/>
  <c r="L72" i="10"/>
  <c r="L56" i="10"/>
  <c r="J57" i="20"/>
  <c r="W57" i="20" s="1"/>
  <c r="J37" i="20"/>
  <c r="W37" i="20" s="1"/>
  <c r="L36" i="10"/>
  <c r="J54" i="20"/>
  <c r="W54" i="20" s="1"/>
  <c r="L53" i="10"/>
  <c r="J33" i="20"/>
  <c r="W33" i="20" s="1"/>
  <c r="L32" i="10"/>
  <c r="L83" i="10"/>
  <c r="J84" i="20"/>
  <c r="W84" i="20" s="1"/>
  <c r="L50" i="10"/>
  <c r="J51" i="20"/>
  <c r="W51" i="20" s="1"/>
  <c r="L49" i="10"/>
  <c r="J50" i="20"/>
  <c r="W50" i="20" s="1"/>
  <c r="L78" i="10"/>
  <c r="J79" i="20"/>
  <c r="W79" i="20" s="1"/>
  <c r="J25" i="20"/>
  <c r="W25" i="20" s="1"/>
  <c r="X25" i="20" s="1"/>
  <c r="Y25" i="20" s="1"/>
  <c r="L24" i="10"/>
  <c r="J17" i="20"/>
  <c r="L16" i="10"/>
  <c r="D111" i="10"/>
  <c r="J28" i="20"/>
  <c r="W28" i="20" s="1"/>
  <c r="L27" i="10"/>
  <c r="J38" i="20"/>
  <c r="W38" i="20" s="1"/>
  <c r="L37" i="10"/>
  <c r="J77" i="20"/>
  <c r="W77" i="20" s="1"/>
  <c r="L76" i="10"/>
  <c r="J56" i="20"/>
  <c r="W56" i="20" s="1"/>
  <c r="L55" i="10"/>
  <c r="L48" i="10"/>
  <c r="J49" i="20"/>
  <c r="W49" i="20" s="1"/>
  <c r="J103" i="20"/>
  <c r="W103" i="20" s="1"/>
  <c r="L102" i="10"/>
  <c r="J78" i="20"/>
  <c r="W78" i="20" s="1"/>
  <c r="L77" i="10"/>
  <c r="J70" i="20"/>
  <c r="W70" i="20" s="1"/>
  <c r="L69" i="10"/>
  <c r="L91" i="10"/>
  <c r="J92" i="20"/>
  <c r="W92" i="20" s="1"/>
  <c r="X92" i="20" s="1"/>
  <c r="Y92" i="20" s="1"/>
  <c r="L26" i="10"/>
  <c r="J27" i="20"/>
  <c r="W27" i="20" s="1"/>
  <c r="X27" i="20" s="1"/>
  <c r="Y27" i="20" s="1"/>
  <c r="J18" i="20"/>
  <c r="W18" i="20" s="1"/>
  <c r="L17" i="10"/>
  <c r="L96" i="10"/>
  <c r="J97" i="20"/>
  <c r="W97" i="20" s="1"/>
  <c r="X97" i="20" s="1"/>
  <c r="Y97" i="20" s="1"/>
  <c r="J45" i="20"/>
  <c r="W45" i="20" s="1"/>
  <c r="L44" i="10"/>
  <c r="E111" i="10"/>
  <c r="J30" i="20"/>
  <c r="W30" i="20" s="1"/>
  <c r="L29" i="10"/>
  <c r="J94" i="20"/>
  <c r="W94" i="20" s="1"/>
  <c r="L93" i="10"/>
  <c r="L19" i="10"/>
  <c r="J20" i="20"/>
  <c r="W20" i="20" s="1"/>
  <c r="X20" i="20" s="1"/>
  <c r="Y20" i="20" s="1"/>
  <c r="L25" i="10"/>
  <c r="J26" i="20"/>
  <c r="W26" i="20" s="1"/>
  <c r="J61" i="20"/>
  <c r="W61" i="20" s="1"/>
  <c r="L60" i="10"/>
  <c r="J88" i="20"/>
  <c r="W88" i="20" s="1"/>
  <c r="X88" i="20" s="1"/>
  <c r="Y88" i="20" s="1"/>
  <c r="L87" i="10"/>
  <c r="J108" i="20"/>
  <c r="W108" i="20" s="1"/>
  <c r="L107" i="10"/>
  <c r="J19" i="20"/>
  <c r="W19" i="20" s="1"/>
  <c r="L18" i="10"/>
  <c r="L79" i="10"/>
  <c r="J80" i="20"/>
  <c r="W80" i="20" s="1"/>
  <c r="X80" i="20" s="1"/>
  <c r="Y80" i="20" s="1"/>
  <c r="L64" i="10"/>
  <c r="J65" i="20"/>
  <c r="W65" i="20" s="1"/>
  <c r="X65" i="20" s="1"/>
  <c r="Y65" i="20" s="1"/>
  <c r="J69" i="20"/>
  <c r="W69" i="20" s="1"/>
  <c r="L68" i="10"/>
  <c r="J29" i="20"/>
  <c r="W29" i="20" s="1"/>
  <c r="L28" i="10"/>
  <c r="J58" i="20"/>
  <c r="W58" i="20" s="1"/>
  <c r="L57" i="10"/>
  <c r="J87" i="20"/>
  <c r="W87" i="20" s="1"/>
  <c r="L86" i="10"/>
  <c r="L105" i="10"/>
  <c r="J106" i="20"/>
  <c r="W106" i="20" s="1"/>
  <c r="J31" i="20"/>
  <c r="W31" i="20" s="1"/>
  <c r="L30" i="10"/>
  <c r="L67" i="10"/>
  <c r="J68" i="20"/>
  <c r="W68" i="20" s="1"/>
  <c r="X68" i="20" s="1"/>
  <c r="Y68" i="20" s="1"/>
  <c r="L108" i="10"/>
  <c r="J109" i="20"/>
  <c r="W109" i="20" s="1"/>
  <c r="J32" i="20"/>
  <c r="W32" i="20" s="1"/>
  <c r="L31" i="10"/>
  <c r="J43" i="20"/>
  <c r="W43" i="20" s="1"/>
  <c r="L42" i="10"/>
  <c r="L100" i="10"/>
  <c r="J101" i="20"/>
  <c r="W101" i="20" s="1"/>
  <c r="J90" i="20"/>
  <c r="W90" i="20" s="1"/>
  <c r="L89" i="10"/>
  <c r="J98" i="20"/>
  <c r="W98" i="20" s="1"/>
  <c r="L97" i="10"/>
  <c r="J82" i="20"/>
  <c r="W82" i="20" s="1"/>
  <c r="L81" i="10"/>
  <c r="J24" i="20"/>
  <c r="W24" i="20" s="1"/>
  <c r="L23" i="10"/>
  <c r="L34" i="10"/>
  <c r="J35" i="20"/>
  <c r="W35" i="20" s="1"/>
  <c r="J67" i="20"/>
  <c r="W67" i="20" s="1"/>
  <c r="L66" i="10"/>
  <c r="L73" i="10"/>
  <c r="J74" i="20"/>
  <c r="W74" i="20" s="1"/>
  <c r="X74" i="20" s="1"/>
  <c r="Y74" i="20" s="1"/>
  <c r="J89" i="20"/>
  <c r="W89" i="20" s="1"/>
  <c r="X89" i="20" s="1"/>
  <c r="Y89" i="20" s="1"/>
  <c r="L88" i="10"/>
  <c r="L101" i="10"/>
  <c r="J102" i="20"/>
  <c r="W102" i="20" s="1"/>
  <c r="L20" i="10"/>
  <c r="J21" i="20"/>
  <c r="W21" i="20" s="1"/>
  <c r="X21" i="20" s="1"/>
  <c r="Y21" i="20" s="1"/>
  <c r="L75" i="10"/>
  <c r="J76" i="20"/>
  <c r="W76" i="20" s="1"/>
  <c r="X76" i="20" s="1"/>
  <c r="Y76" i="20" s="1"/>
  <c r="L82" i="10"/>
  <c r="J83" i="20"/>
  <c r="W83" i="20" s="1"/>
  <c r="L80" i="10"/>
  <c r="J81" i="20"/>
  <c r="W81" i="20" s="1"/>
  <c r="L106" i="10"/>
  <c r="J107" i="20"/>
  <c r="W107" i="20" s="1"/>
  <c r="X107" i="20" s="1"/>
  <c r="Y107" i="20" s="1"/>
  <c r="L65" i="10"/>
  <c r="J66" i="20"/>
  <c r="W66" i="20" s="1"/>
  <c r="J22" i="20"/>
  <c r="W22" i="20" s="1"/>
  <c r="L21" i="10"/>
  <c r="L38" i="10"/>
  <c r="J39" i="20"/>
  <c r="W39" i="20" s="1"/>
  <c r="L52" i="10"/>
  <c r="J53" i="20"/>
  <c r="W53" i="20" s="1"/>
  <c r="L85" i="10"/>
  <c r="J86" i="20"/>
  <c r="W86" i="20" s="1"/>
  <c r="L54" i="10"/>
  <c r="J55" i="20"/>
  <c r="W55" i="20" s="1"/>
  <c r="J100" i="20"/>
  <c r="W100" i="20" s="1"/>
  <c r="L99" i="10"/>
  <c r="G11" i="30"/>
  <c r="J41" i="20"/>
  <c r="W41" i="20" s="1"/>
  <c r="L40" i="10"/>
  <c r="J75" i="20"/>
  <c r="W75" i="20" s="1"/>
  <c r="L74" i="10"/>
  <c r="J59" i="20"/>
  <c r="W59" i="20" s="1"/>
  <c r="L58" i="10"/>
  <c r="L41" i="10"/>
  <c r="J42" i="20"/>
  <c r="W42" i="20" s="1"/>
  <c r="L63" i="10"/>
  <c r="J64" i="20"/>
  <c r="W64" i="20" s="1"/>
  <c r="X64" i="20" s="1"/>
  <c r="Y64" i="20" s="1"/>
  <c r="L61" i="10"/>
  <c r="J62" i="20"/>
  <c r="W62" i="20" s="1"/>
  <c r="L59" i="10"/>
  <c r="J60" i="20"/>
  <c r="W60" i="20" s="1"/>
  <c r="J110" i="20"/>
  <c r="W110" i="20" s="1"/>
  <c r="L109" i="10"/>
  <c r="J44" i="20"/>
  <c r="W44" i="20" s="1"/>
  <c r="L43" i="10"/>
  <c r="L90" i="10"/>
  <c r="J91" i="20"/>
  <c r="W91" i="20" s="1"/>
  <c r="X91" i="20" s="1"/>
  <c r="Y91" i="20" s="1"/>
  <c r="L47" i="10"/>
  <c r="J48" i="20"/>
  <c r="W48" i="20" s="1"/>
  <c r="X48" i="20" s="1"/>
  <c r="Y48" i="20" s="1"/>
  <c r="L84" i="10"/>
  <c r="J85" i="20"/>
  <c r="W85" i="20" s="1"/>
  <c r="X85" i="20" s="1"/>
  <c r="Y85" i="20" s="1"/>
  <c r="J104" i="20"/>
  <c r="W104" i="20" s="1"/>
  <c r="L103" i="10"/>
  <c r="L70" i="10"/>
  <c r="J71" i="20"/>
  <c r="W71" i="20" s="1"/>
  <c r="L51" i="10"/>
  <c r="J52" i="20"/>
  <c r="W52" i="20" s="1"/>
  <c r="J96" i="20"/>
  <c r="W96" i="20" s="1"/>
  <c r="L95" i="10"/>
  <c r="L104" i="10"/>
  <c r="J105" i="20"/>
  <c r="W105" i="20" s="1"/>
  <c r="X105" i="20" s="1"/>
  <c r="Y105" i="20" s="1"/>
  <c r="L39" i="10"/>
  <c r="J40" i="20"/>
  <c r="W40" i="20" s="1"/>
  <c r="X40" i="20" s="1"/>
  <c r="Y40" i="20" s="1"/>
  <c r="J72" i="20"/>
  <c r="W72" i="20" s="1"/>
  <c r="L71" i="10"/>
  <c r="J23" i="20"/>
  <c r="W23" i="20" s="1"/>
  <c r="L22" i="10"/>
  <c r="J47" i="20"/>
  <c r="W47" i="20" s="1"/>
  <c r="L46" i="10"/>
  <c r="L45" i="10"/>
  <c r="J46" i="20"/>
  <c r="W46" i="20" s="1"/>
  <c r="L98" i="10"/>
  <c r="J99" i="20"/>
  <c r="W99" i="20" s="1"/>
  <c r="J63" i="20"/>
  <c r="W63" i="20" s="1"/>
  <c r="L62" i="10"/>
  <c r="J111" i="20"/>
  <c r="W111" i="20" s="1"/>
  <c r="L110" i="10"/>
  <c r="J95" i="20"/>
  <c r="W95" i="20" s="1"/>
  <c r="L94" i="10"/>
  <c r="J93" i="20"/>
  <c r="W93" i="20" s="1"/>
  <c r="L92" i="10"/>
  <c r="S16" i="20"/>
  <c r="H112" i="20"/>
  <c r="B16" i="30" s="1"/>
  <c r="B20" i="30" s="1"/>
  <c r="B21" i="30" s="1"/>
  <c r="B22" i="30" s="1"/>
  <c r="D36" i="31" l="1"/>
  <c r="D40" i="31" s="1"/>
  <c r="D41" i="31" s="1"/>
  <c r="D42" i="31" s="1"/>
  <c r="C36" i="31"/>
  <c r="C40" i="31" s="1"/>
  <c r="C41" i="31" s="1"/>
  <c r="C42" i="31" s="1"/>
  <c r="C43" i="31" s="1"/>
  <c r="C44" i="31" s="1"/>
  <c r="E16" i="30"/>
  <c r="G16" i="30" s="1"/>
  <c r="H16" i="30" s="1"/>
  <c r="E36" i="31"/>
  <c r="E40" i="31" s="1"/>
  <c r="E41" i="31" s="1"/>
  <c r="E42" i="31" s="1"/>
  <c r="X46" i="20"/>
  <c r="Y46" i="20" s="1"/>
  <c r="X71" i="20"/>
  <c r="Y71" i="20" s="1"/>
  <c r="X62" i="20"/>
  <c r="Y62" i="20" s="1"/>
  <c r="X42" i="20"/>
  <c r="Y42" i="20" s="1"/>
  <c r="X55" i="20"/>
  <c r="Y55" i="20" s="1"/>
  <c r="X53" i="20"/>
  <c r="Y53" i="20" s="1"/>
  <c r="X83" i="20"/>
  <c r="Y83" i="20" s="1"/>
  <c r="X101" i="20"/>
  <c r="Y101" i="20" s="1"/>
  <c r="X106" i="20"/>
  <c r="Y106" i="20" s="1"/>
  <c r="X45" i="20"/>
  <c r="Y45" i="20" s="1"/>
  <c r="X18" i="20"/>
  <c r="Y18" i="20" s="1"/>
  <c r="X78" i="20"/>
  <c r="Y78" i="20" s="1"/>
  <c r="X77" i="20"/>
  <c r="Y77" i="20" s="1"/>
  <c r="X28" i="20"/>
  <c r="Y28" i="20" s="1"/>
  <c r="X50" i="20"/>
  <c r="Y50" i="20" s="1"/>
  <c r="X84" i="20"/>
  <c r="Y84" i="20" s="1"/>
  <c r="X57" i="20"/>
  <c r="Y57" i="20" s="1"/>
  <c r="X34" i="20"/>
  <c r="Y34" i="20" s="1"/>
  <c r="S112" i="20"/>
  <c r="T16" i="20"/>
  <c r="T112" i="20" s="1"/>
  <c r="X95" i="20"/>
  <c r="Y95" i="20" s="1"/>
  <c r="X63" i="20"/>
  <c r="Y63" i="20" s="1"/>
  <c r="X23" i="20"/>
  <c r="Y23" i="20" s="1"/>
  <c r="X96" i="20"/>
  <c r="Y96" i="20" s="1"/>
  <c r="X110" i="20"/>
  <c r="Y110" i="20" s="1"/>
  <c r="X75" i="20"/>
  <c r="Y75" i="20" s="1"/>
  <c r="H11" i="30"/>
  <c r="X22" i="20"/>
  <c r="Y22" i="20" s="1"/>
  <c r="X67" i="20"/>
  <c r="Y67" i="20" s="1"/>
  <c r="X24" i="20"/>
  <c r="Y24" i="20" s="1"/>
  <c r="X98" i="20"/>
  <c r="Y98" i="20" s="1"/>
  <c r="X32" i="20"/>
  <c r="Y32" i="20" s="1"/>
  <c r="X58" i="20"/>
  <c r="Y58" i="20" s="1"/>
  <c r="X69" i="20"/>
  <c r="Y69" i="20" s="1"/>
  <c r="X108" i="20"/>
  <c r="Y108" i="20" s="1"/>
  <c r="X61" i="20"/>
  <c r="Y61" i="20" s="1"/>
  <c r="X30" i="20"/>
  <c r="Y30" i="20" s="1"/>
  <c r="E15" i="30"/>
  <c r="B36" i="30"/>
  <c r="B40" i="30" s="1"/>
  <c r="X54" i="20"/>
  <c r="Y54" i="20" s="1"/>
  <c r="X99" i="20"/>
  <c r="Y99" i="20" s="1"/>
  <c r="X52" i="20"/>
  <c r="Y52" i="20" s="1"/>
  <c r="X60" i="20"/>
  <c r="Y60" i="20" s="1"/>
  <c r="X86" i="20"/>
  <c r="Y86" i="20" s="1"/>
  <c r="X39" i="20"/>
  <c r="Y39" i="20" s="1"/>
  <c r="X66" i="20"/>
  <c r="Y66" i="20" s="1"/>
  <c r="X81" i="20"/>
  <c r="Y81" i="20" s="1"/>
  <c r="X102" i="20"/>
  <c r="Y102" i="20" s="1"/>
  <c r="X35" i="20"/>
  <c r="Y35" i="20" s="1"/>
  <c r="X109" i="20"/>
  <c r="Y109" i="20" s="1"/>
  <c r="X26" i="20"/>
  <c r="Y26" i="20" s="1"/>
  <c r="X70" i="20"/>
  <c r="Y70" i="20" s="1"/>
  <c r="X103" i="20"/>
  <c r="Y103" i="20" s="1"/>
  <c r="X56" i="20"/>
  <c r="Y56" i="20" s="1"/>
  <c r="X38" i="20"/>
  <c r="Y38" i="20" s="1"/>
  <c r="L111" i="10"/>
  <c r="X79" i="20"/>
  <c r="Y79" i="20" s="1"/>
  <c r="X51" i="20"/>
  <c r="Y51" i="20" s="1"/>
  <c r="X36" i="20"/>
  <c r="Y36" i="20" s="1"/>
  <c r="X93" i="20"/>
  <c r="Y93" i="20" s="1"/>
  <c r="X111" i="20"/>
  <c r="Y111" i="20" s="1"/>
  <c r="X47" i="20"/>
  <c r="Y47" i="20" s="1"/>
  <c r="X72" i="20"/>
  <c r="Y72" i="20" s="1"/>
  <c r="X104" i="20"/>
  <c r="Y104" i="20" s="1"/>
  <c r="X44" i="20"/>
  <c r="Y44" i="20" s="1"/>
  <c r="X59" i="20"/>
  <c r="Y59" i="20" s="1"/>
  <c r="X41" i="20"/>
  <c r="Y41" i="20" s="1"/>
  <c r="X100" i="20"/>
  <c r="Y100" i="20" s="1"/>
  <c r="X82" i="20"/>
  <c r="Y82" i="20" s="1"/>
  <c r="X90" i="20"/>
  <c r="Y90" i="20" s="1"/>
  <c r="X43" i="20"/>
  <c r="Y43" i="20" s="1"/>
  <c r="X31" i="20"/>
  <c r="Y31" i="20" s="1"/>
  <c r="X87" i="20"/>
  <c r="Y87" i="20" s="1"/>
  <c r="X29" i="20"/>
  <c r="Y29" i="20" s="1"/>
  <c r="X19" i="20"/>
  <c r="Y19" i="20" s="1"/>
  <c r="X94" i="20"/>
  <c r="Y94" i="20" s="1"/>
  <c r="X49" i="20"/>
  <c r="Y49" i="20" s="1"/>
  <c r="W17" i="20"/>
  <c r="J112" i="20"/>
  <c r="X33" i="20"/>
  <c r="Y33" i="20" s="1"/>
  <c r="X37" i="20"/>
  <c r="Y37" i="20" s="1"/>
  <c r="X73" i="20"/>
  <c r="Y73" i="20" s="1"/>
  <c r="D26" i="31" l="1"/>
  <c r="D30" i="31" s="1"/>
  <c r="D31" i="31" s="1"/>
  <c r="D32" i="31" s="1"/>
  <c r="D43" i="31" s="1"/>
  <c r="D44" i="31" s="1"/>
  <c r="E26" i="31"/>
  <c r="E30" i="31" s="1"/>
  <c r="Y16" i="20"/>
  <c r="X17" i="20"/>
  <c r="X112" i="20" s="1"/>
  <c r="W112" i="20"/>
  <c r="B41" i="30"/>
  <c r="B42" i="30" s="1"/>
  <c r="G15" i="30"/>
  <c r="E18" i="30"/>
  <c r="B43" i="30" l="1"/>
  <c r="B44" i="30" s="1"/>
  <c r="E31" i="31"/>
  <c r="E32" i="31" s="1"/>
  <c r="E43" i="31" s="1"/>
  <c r="E44" i="31" s="1"/>
  <c r="Y17" i="20"/>
  <c r="Y112" i="20" s="1"/>
  <c r="H15" i="30"/>
  <c r="H18" i="30" s="1"/>
  <c r="G18" i="30"/>
  <c r="E30" i="32"/>
  <c r="D30" i="32"/>
  <c r="C30" i="32"/>
  <c r="E43" i="32"/>
  <c r="D43" i="32"/>
  <c r="C43" i="32"/>
  <c r="E60" i="32"/>
  <c r="D60" i="32"/>
  <c r="C60" i="32"/>
  <c r="E53" i="32"/>
  <c r="D53" i="32"/>
  <c r="C53" i="32"/>
  <c r="E45" i="32"/>
  <c r="D45" i="32"/>
  <c r="C45" i="32"/>
  <c r="E15" i="32"/>
  <c r="D15" i="32"/>
  <c r="C15" i="32"/>
  <c r="E44" i="32"/>
  <c r="D44" i="32"/>
  <c r="C44" i="32"/>
  <c r="E95" i="32"/>
  <c r="D95" i="32"/>
  <c r="C95" i="32"/>
  <c r="E72" i="32"/>
  <c r="D72" i="32"/>
  <c r="C72" i="32"/>
  <c r="E87" i="32"/>
  <c r="D87" i="32"/>
  <c r="C87" i="32"/>
  <c r="E48" i="32"/>
  <c r="D48" i="32"/>
  <c r="C48" i="32"/>
  <c r="E94" i="32"/>
  <c r="D94" i="32"/>
  <c r="C94" i="32"/>
  <c r="E66" i="32"/>
  <c r="D66" i="32"/>
  <c r="C66" i="32"/>
  <c r="E73" i="32"/>
  <c r="D73" i="32"/>
  <c r="C73" i="32"/>
  <c r="E59" i="32"/>
  <c r="D59" i="32"/>
  <c r="C59" i="32"/>
  <c r="E85" i="32"/>
  <c r="D85" i="32"/>
  <c r="C85" i="32"/>
  <c r="E75" i="32"/>
  <c r="D75" i="32"/>
  <c r="C75" i="32"/>
  <c r="E69" i="32"/>
  <c r="D69" i="32"/>
  <c r="C69" i="32"/>
  <c r="E82" i="32"/>
  <c r="D82" i="32"/>
  <c r="C82" i="32"/>
  <c r="E27" i="32"/>
  <c r="D27" i="32"/>
  <c r="C27" i="32"/>
  <c r="E19" i="32"/>
  <c r="D19" i="32"/>
  <c r="C19" i="32"/>
  <c r="C35" i="32"/>
  <c r="D35" i="32"/>
  <c r="E35" i="32"/>
  <c r="C33" i="32"/>
  <c r="D33" i="32"/>
  <c r="E33" i="32"/>
  <c r="C62" i="32"/>
  <c r="D62" i="32"/>
  <c r="E62" i="32"/>
  <c r="E54" i="32"/>
  <c r="D54" i="32"/>
  <c r="C54" i="32"/>
  <c r="C65" i="32"/>
  <c r="D65" i="32"/>
  <c r="E65" i="32"/>
  <c r="C38" i="32"/>
  <c r="D38" i="32"/>
  <c r="E38" i="32"/>
  <c r="C77" i="32"/>
  <c r="D77" i="32"/>
  <c r="E77" i="32"/>
  <c r="C91" i="32"/>
  <c r="D91" i="32"/>
  <c r="E91" i="32"/>
  <c r="C100" i="32"/>
  <c r="D100" i="32"/>
  <c r="E100" i="32"/>
  <c r="C89" i="32"/>
  <c r="D89" i="32"/>
  <c r="E89" i="32"/>
  <c r="E21" i="32"/>
  <c r="D21" i="32"/>
  <c r="C21" i="32"/>
  <c r="E93" i="32"/>
  <c r="D93" i="32"/>
  <c r="C93" i="32"/>
  <c r="E50" i="32"/>
  <c r="D50" i="32"/>
  <c r="C50" i="32"/>
  <c r="C101" i="32"/>
  <c r="D101" i="32"/>
  <c r="E101" i="32"/>
  <c r="C99" i="32"/>
  <c r="D99" i="32"/>
  <c r="E99" i="32"/>
  <c r="C46" i="32"/>
  <c r="D46" i="32"/>
  <c r="E46" i="32"/>
  <c r="C16" i="32"/>
  <c r="D16" i="32"/>
  <c r="E16" i="32"/>
  <c r="C63" i="32"/>
  <c r="D63" i="32"/>
  <c r="E63" i="32"/>
  <c r="E37" i="32"/>
  <c r="D37" i="32"/>
  <c r="C37" i="32"/>
  <c r="C40" i="32"/>
  <c r="D40" i="32"/>
  <c r="E40" i="32"/>
  <c r="C71" i="32"/>
  <c r="D71" i="32"/>
  <c r="E71" i="32"/>
  <c r="C96" i="32"/>
  <c r="D96" i="32"/>
  <c r="E96" i="32"/>
  <c r="E32" i="32"/>
  <c r="D32" i="32"/>
  <c r="C32" i="32"/>
  <c r="C103" i="32"/>
  <c r="D103" i="32"/>
  <c r="E103" i="32"/>
  <c r="C61" i="32"/>
  <c r="D61" i="32"/>
  <c r="E61" i="32"/>
  <c r="C29" i="32"/>
  <c r="D29" i="32"/>
  <c r="E29" i="32"/>
  <c r="C98" i="32"/>
  <c r="D98" i="32"/>
  <c r="E98" i="32"/>
  <c r="E51" i="32"/>
  <c r="D51" i="32"/>
  <c r="C51" i="32"/>
  <c r="C86" i="32"/>
  <c r="D86" i="32"/>
  <c r="E86" i="32"/>
  <c r="C31" i="32"/>
  <c r="D31" i="32"/>
  <c r="E31" i="32"/>
  <c r="C58" i="32"/>
  <c r="D58" i="32"/>
  <c r="E58" i="32"/>
  <c r="C49" i="32"/>
  <c r="D49" i="32"/>
  <c r="E49" i="32"/>
  <c r="C104" i="32"/>
  <c r="D104" i="32"/>
  <c r="E104" i="32"/>
  <c r="E22" i="32"/>
  <c r="D22" i="32"/>
  <c r="C22" i="32"/>
  <c r="C81" i="32"/>
  <c r="D81" i="32"/>
  <c r="E81" i="32"/>
  <c r="C17" i="32"/>
  <c r="D17" i="32"/>
  <c r="E17" i="32"/>
  <c r="C90" i="32"/>
  <c r="D90" i="32"/>
  <c r="E90" i="32"/>
  <c r="C34" i="32"/>
  <c r="D34" i="32"/>
  <c r="E34" i="32"/>
  <c r="C80" i="32"/>
  <c r="D80" i="32"/>
  <c r="E80" i="32"/>
  <c r="C92" i="32"/>
  <c r="D92" i="32"/>
  <c r="E92" i="32"/>
  <c r="C78" i="32"/>
  <c r="D78" i="32"/>
  <c r="E78" i="32"/>
  <c r="E41" i="32"/>
  <c r="D41" i="32"/>
  <c r="C41" i="32"/>
  <c r="C28" i="32"/>
  <c r="D28" i="32"/>
  <c r="E28" i="32"/>
  <c r="C74" i="32"/>
  <c r="D74" i="32"/>
  <c r="E74" i="32"/>
  <c r="C64" i="32"/>
  <c r="D64" i="32"/>
  <c r="E64" i="32"/>
  <c r="C52" i="32"/>
  <c r="D52" i="32"/>
  <c r="E52" i="32"/>
  <c r="C56" i="32"/>
  <c r="D56" i="32"/>
  <c r="E56" i="32"/>
  <c r="C18" i="32"/>
  <c r="D18" i="32"/>
  <c r="E18" i="32"/>
  <c r="C42" i="32"/>
  <c r="D42" i="32"/>
  <c r="E42" i="32"/>
  <c r="C88" i="32"/>
  <c r="D88" i="32"/>
  <c r="E88" i="32"/>
  <c r="C36" i="32"/>
  <c r="D36" i="32"/>
  <c r="E36" i="32"/>
  <c r="C102" i="32"/>
  <c r="D102" i="32"/>
  <c r="E102" i="32"/>
  <c r="E97" i="32"/>
  <c r="D97" i="32"/>
  <c r="C97" i="32"/>
  <c r="C84" i="32"/>
  <c r="D84" i="32"/>
  <c r="E84" i="32"/>
  <c r="C70" i="32"/>
  <c r="D70" i="32"/>
  <c r="E70" i="32"/>
  <c r="C76" i="32"/>
  <c r="D76" i="32"/>
  <c r="E76" i="32"/>
  <c r="C25" i="32"/>
  <c r="D25" i="32"/>
  <c r="E25" i="32"/>
  <c r="C26" i="32"/>
  <c r="D26" i="32"/>
  <c r="E26" i="32"/>
  <c r="C79" i="32"/>
  <c r="D79" i="32"/>
  <c r="E79" i="32"/>
  <c r="C23" i="32"/>
  <c r="D23" i="32"/>
  <c r="E23" i="32"/>
  <c r="C39" i="32"/>
  <c r="D39" i="32"/>
  <c r="E39" i="32"/>
  <c r="C24" i="32"/>
  <c r="D24" i="32"/>
  <c r="E24" i="32"/>
  <c r="C47" i="32"/>
  <c r="D47" i="32"/>
  <c r="E47" i="32"/>
  <c r="C67" i="32"/>
  <c r="D67" i="32"/>
  <c r="E67" i="32"/>
  <c r="C68" i="32"/>
  <c r="D68" i="32"/>
  <c r="E68" i="32"/>
  <c r="C83" i="32"/>
  <c r="D83" i="32"/>
  <c r="E83" i="32"/>
  <c r="C57" i="32"/>
  <c r="D57" i="32"/>
  <c r="E5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Hendricks, Bridgette</author>
  </authors>
  <commentList>
    <comment ref="F153" authorId="0" shapeId="0" xr:uid="{00000000-0006-0000-0F00-000001000000}">
      <text>
        <r>
          <rPr>
            <b/>
            <sz val="9"/>
            <color indexed="81"/>
            <rFont val="Tahoma"/>
            <family val="2"/>
          </rPr>
          <t>Hendricks, Bridgette:</t>
        </r>
        <r>
          <rPr>
            <sz val="9"/>
            <color indexed="81"/>
            <rFont val="Tahoma"/>
            <family val="2"/>
          </rPr>
          <t xml:space="preserve">
Note that the sizing of the HDS equipment takes into account the flow from the NMA raw water, the sludge recycle, and the brine recycle, however, the sulfate load is not attributed to the sludge recycle.  </t>
        </r>
      </text>
    </comment>
  </commentList>
</comments>
</file>

<file path=xl/sharedStrings.xml><?xml version="1.0" encoding="utf-8"?>
<sst xmlns="http://schemas.openxmlformats.org/spreadsheetml/2006/main" count="2636" uniqueCount="718">
  <si>
    <t xml:space="preserve"> </t>
  </si>
  <si>
    <t>Date:</t>
  </si>
  <si>
    <t>Project No.:</t>
  </si>
  <si>
    <t>Subject:</t>
  </si>
  <si>
    <t>Capital and O&amp;M Cost Summary Table</t>
  </si>
  <si>
    <t>Project Short Title:</t>
  </si>
  <si>
    <t>Tyrone Mine Closure Closeout Plan</t>
  </si>
  <si>
    <t>SUMMARY BY SYSTEM</t>
  </si>
  <si>
    <t>SUMMARY BY CATEGORY</t>
  </si>
  <si>
    <t>Indirect</t>
  </si>
  <si>
    <t>Inputs</t>
  </si>
  <si>
    <t>Cost Category</t>
  </si>
  <si>
    <t>Cost</t>
  </si>
  <si>
    <t>Indirect %</t>
  </si>
  <si>
    <t>Indirect Cost</t>
  </si>
  <si>
    <t>Total Cost</t>
  </si>
  <si>
    <t>Capital Cost</t>
  </si>
  <si>
    <t>O&amp;M Cost (commodities, labor routine maint, replacement)</t>
  </si>
  <si>
    <t>O&amp;M - Reagents</t>
  </si>
  <si>
    <t>Capital Cost Elements</t>
  </si>
  <si>
    <t>2019 Tyrone CCP Update</t>
  </si>
  <si>
    <t>O&amp;M - Analytical</t>
  </si>
  <si>
    <t>Short-Term Evaporative Treatment System (ETS)</t>
  </si>
  <si>
    <t>O&amp;M - Power</t>
  </si>
  <si>
    <t>Long-Term ETS</t>
  </si>
  <si>
    <t>O&amp;M - Replacement O&amp;M</t>
  </si>
  <si>
    <t>Tyrone Water Treatment System (TTS)</t>
  </si>
  <si>
    <r>
      <t>O&amp;M - Routine Maintenance</t>
    </r>
    <r>
      <rPr>
        <vertAlign val="superscript"/>
        <sz val="11"/>
        <color rgb="FF000000"/>
        <rFont val="Arial"/>
        <family val="2"/>
      </rPr>
      <t>1</t>
    </r>
  </si>
  <si>
    <t>Water Collection/Conveyance for TTS</t>
  </si>
  <si>
    <t>O&amp;M - Labor</t>
  </si>
  <si>
    <t>Sludge Disposal Facility for TTS</t>
  </si>
  <si>
    <t>Total, Capital</t>
  </si>
  <si>
    <t>Salt Disposal Facility for ETS</t>
  </si>
  <si>
    <t>Subtotal, Capital</t>
  </si>
  <si>
    <t>Indirect Costs, Capital</t>
  </si>
  <si>
    <t>O&amp;M Costs - Commodities (Reagents, Analytical, Power)</t>
  </si>
  <si>
    <t>Short-Term ETS</t>
  </si>
  <si>
    <t>Subtotal, O&amp;M Commodities</t>
  </si>
  <si>
    <t>Indirect Costs, O&amp;M Commodities</t>
  </si>
  <si>
    <t>Total, O&amp;M Commodities</t>
  </si>
  <si>
    <t>O&amp;M Costs - Replacement O&amp;M,  Routine Maintenance, Labor</t>
  </si>
  <si>
    <t>Subtotal, O&amp;M Labor, Routine Maintenance</t>
  </si>
  <si>
    <t>Indirect Costs, O&amp;M Labor, Routine Maintenance</t>
  </si>
  <si>
    <t>Total, O&amp;M Labor, Routine Maintenance</t>
  </si>
  <si>
    <t>Total, O&amp;M</t>
  </si>
  <si>
    <t>Total, Capital and O&amp;M in Current Costs</t>
  </si>
  <si>
    <t xml:space="preserve">Capital Cost </t>
  </si>
  <si>
    <t>O&amp;M Cost (power, reagents, analytical)</t>
  </si>
  <si>
    <t>Summary Cash Flow in Current Costs</t>
  </si>
  <si>
    <t>O&amp;M Cost (replacement O&amp;M, labor, routine maintenance)</t>
  </si>
  <si>
    <t>Year</t>
  </si>
  <si>
    <t>TTS</t>
  </si>
  <si>
    <t>Water Conveyance</t>
  </si>
  <si>
    <t>Sludge Disposal Facility</t>
  </si>
  <si>
    <t>Salt Disposal Facility</t>
  </si>
  <si>
    <t>Total</t>
  </si>
  <si>
    <t>Capital</t>
  </si>
  <si>
    <t>Power</t>
  </si>
  <si>
    <t>Replacement O&amp;M, Routine Maintenance,  Labor</t>
  </si>
  <si>
    <t>Reagents, Analytical, Power</t>
  </si>
  <si>
    <t>Replacement O&amp;M, Routine Maintenance, Labor</t>
  </si>
  <si>
    <t>Capital Cost Subtotal</t>
  </si>
  <si>
    <t>Capital Cost Indirects</t>
  </si>
  <si>
    <t>O&amp;M Cost Subtotal 
(Reagents, Analytical, Power)</t>
  </si>
  <si>
    <t>O&amp;M Subtotal 
(Reagents, Analytical, Power) Indirects</t>
  </si>
  <si>
    <t>O&amp;M Subtotal 
(Replacement O&amp;M, Routine Maintenance, Labor)</t>
  </si>
  <si>
    <t>O&amp;M Subtotal 
(Replacement O&amp;M, Routine Maintenance, Labor) Indirects</t>
  </si>
  <si>
    <t>Notes:</t>
  </si>
  <si>
    <t>New Cost</t>
  </si>
  <si>
    <t>Replacement O&amp;M Percentage</t>
  </si>
  <si>
    <t>Short Term ETS Direct Cost Cash Flow by Year in Current Cost Dollars</t>
  </si>
  <si>
    <t>Routine Maintenance Percentage</t>
  </si>
  <si>
    <t>Avg ($/kWh) Year 1 through 14</t>
  </si>
  <si>
    <t>Avg ($/kWh) Year 15 through 100</t>
  </si>
  <si>
    <t>Year Following Closure</t>
  </si>
  <si>
    <t xml:space="preserve">Capital </t>
  </si>
  <si>
    <r>
      <t>Replacement O&amp;M</t>
    </r>
    <r>
      <rPr>
        <b/>
        <vertAlign val="superscript"/>
        <sz val="10"/>
        <color theme="0"/>
        <rFont val="Arial"/>
        <family val="2"/>
      </rPr>
      <t>1</t>
    </r>
  </si>
  <si>
    <r>
      <t>Routine Maintenance</t>
    </r>
    <r>
      <rPr>
        <b/>
        <vertAlign val="superscript"/>
        <sz val="10"/>
        <color theme="0"/>
        <rFont val="Arial"/>
        <family val="2"/>
      </rPr>
      <t>1</t>
    </r>
  </si>
  <si>
    <t>O&amp;M Labor</t>
  </si>
  <si>
    <t>Annual Power Usage (kWh)</t>
  </si>
  <si>
    <t xml:space="preserve">Electricity Annual Cost </t>
  </si>
  <si>
    <t>Total Annual Cost</t>
  </si>
  <si>
    <t xml:space="preserve">Cost estimate backup details are included in Attachment B to the Tyrone Water Treatment Cost Basis Document. </t>
  </si>
  <si>
    <t>Costs do not include indirect costs</t>
  </si>
  <si>
    <t>Labor Cost Estimate - ETS and Salt Disposal Facility Operations</t>
  </si>
  <si>
    <r>
      <t>Day shift - 1.5 operator (7 day/wk shift coverage)</t>
    </r>
    <r>
      <rPr>
        <vertAlign val="superscript"/>
        <sz val="10"/>
        <rFont val="Arial"/>
        <family val="2"/>
      </rPr>
      <t>1</t>
    </r>
  </si>
  <si>
    <t>Operators</t>
  </si>
  <si>
    <r>
      <t>Operator Rate</t>
    </r>
    <r>
      <rPr>
        <vertAlign val="superscript"/>
        <sz val="10"/>
        <color theme="1"/>
        <rFont val="Arial"/>
        <family val="2"/>
      </rPr>
      <t>2</t>
    </r>
  </si>
  <si>
    <t>/hr</t>
  </si>
  <si>
    <t>hr/op</t>
  </si>
  <si>
    <t>Operator Total Cost</t>
  </si>
  <si>
    <t>Sub-Total Operator Cost</t>
  </si>
  <si>
    <t>Overtime for operators</t>
  </si>
  <si>
    <t>Operator Overtime Total Cost</t>
  </si>
  <si>
    <t>Overtime Cost</t>
  </si>
  <si>
    <t>Supervisors</t>
  </si>
  <si>
    <r>
      <t>Supervisor Rate</t>
    </r>
    <r>
      <rPr>
        <vertAlign val="superscript"/>
        <sz val="10"/>
        <color theme="1"/>
        <rFont val="Arial"/>
        <family val="2"/>
      </rPr>
      <t>3</t>
    </r>
  </si>
  <si>
    <t xml:space="preserve">Supervisor Hours </t>
  </si>
  <si>
    <t>Supervisor Total Cost</t>
  </si>
  <si>
    <t>Hours per year</t>
  </si>
  <si>
    <t>hrs/yr</t>
  </si>
  <si>
    <t>Benefits Cost</t>
  </si>
  <si>
    <t>Total Operator Labor Cost</t>
  </si>
  <si>
    <r>
      <rPr>
        <vertAlign val="superscript"/>
        <sz val="10"/>
        <rFont val="Arial"/>
        <family val="2"/>
      </rPr>
      <t>1</t>
    </r>
    <r>
      <rPr>
        <sz val="10"/>
        <rFont val="Arial"/>
        <family val="2"/>
      </rPr>
      <t xml:space="preserve"> Operator numbers are estimated from Golder's experience with operating similar plants. </t>
    </r>
  </si>
  <si>
    <r>
      <rPr>
        <vertAlign val="superscript"/>
        <sz val="10"/>
        <rFont val="Arial"/>
        <family val="2"/>
      </rPr>
      <t>2</t>
    </r>
    <r>
      <rPr>
        <sz val="10"/>
        <rFont val="Arial"/>
        <family val="2"/>
      </rPr>
      <t xml:space="preserve"> Wages from 2019 New Mexico Type "A" Street, Highway, Utility &amp; Light Engineering Prevailing Wages. Operator Group I.
https://www.dws.state.nm.us/Portals/0/DM/LaborRelations/Prevailing_Wage_Poster_A_2019_final.pdf</t>
    </r>
  </si>
  <si>
    <r>
      <rPr>
        <vertAlign val="superscript"/>
        <sz val="10"/>
        <rFont val="Arial"/>
        <family val="2"/>
      </rPr>
      <t>3</t>
    </r>
    <r>
      <rPr>
        <sz val="10"/>
        <rFont val="Arial"/>
        <family val="2"/>
      </rPr>
      <t xml:space="preserve"> Wages from 2019 New Mexico Type "A" Street, Highway, Utility &amp; Light Engineering Prevailing Wages. Operator Group X.
https://www.dws.state.nm.us/Portals/0/DM/LaborRelations/Prevailing_Wage_Poster_A_2019_final.pdf</t>
    </r>
  </si>
  <si>
    <t>Total Pumps and Pipeline Costs if New</t>
  </si>
  <si>
    <t>Total Sprayer Costs if New</t>
  </si>
  <si>
    <t>Total Tank and Reservoir Cost if New</t>
  </si>
  <si>
    <t>Long Term ETS Direct Cost Cash Flow by Year in Current Cost Dollars</t>
  </si>
  <si>
    <t>Replacement O&amp;M</t>
  </si>
  <si>
    <r>
      <t>Pumps and Pipeline Replacement O&amp;M</t>
    </r>
    <r>
      <rPr>
        <b/>
        <vertAlign val="superscript"/>
        <sz val="10"/>
        <color theme="0"/>
        <rFont val="Arial"/>
        <family val="2"/>
      </rPr>
      <t>1</t>
    </r>
  </si>
  <si>
    <r>
      <t>Sprayers Replacement O&amp;M</t>
    </r>
    <r>
      <rPr>
        <b/>
        <vertAlign val="superscript"/>
        <sz val="10"/>
        <color theme="0"/>
        <rFont val="Arial"/>
        <family val="2"/>
      </rPr>
      <t>1</t>
    </r>
  </si>
  <si>
    <r>
      <t>Tank and Reservoirs Replacement O&amp;M</t>
    </r>
    <r>
      <rPr>
        <b/>
        <vertAlign val="superscript"/>
        <sz val="10"/>
        <color theme="0"/>
        <rFont val="Arial"/>
        <family val="2"/>
      </rPr>
      <t>1</t>
    </r>
  </si>
  <si>
    <r>
      <t>Pumps and Pipeline Routine Maintenance</t>
    </r>
    <r>
      <rPr>
        <b/>
        <vertAlign val="superscript"/>
        <sz val="10"/>
        <color theme="0"/>
        <rFont val="Arial"/>
        <family val="2"/>
      </rPr>
      <t>2</t>
    </r>
  </si>
  <si>
    <r>
      <t>Sprayers Routine Maintenance</t>
    </r>
    <r>
      <rPr>
        <b/>
        <vertAlign val="superscript"/>
        <sz val="10"/>
        <color theme="0"/>
        <rFont val="Arial"/>
        <family val="2"/>
      </rPr>
      <t>2</t>
    </r>
  </si>
  <si>
    <r>
      <t>Tank and Reservoirs Routine Maintenance</t>
    </r>
    <r>
      <rPr>
        <b/>
        <vertAlign val="superscript"/>
        <sz val="10"/>
        <color theme="0"/>
        <rFont val="Arial"/>
        <family val="2"/>
      </rPr>
      <t>2</t>
    </r>
  </si>
  <si>
    <r>
      <t>O&amp;M Labor</t>
    </r>
    <r>
      <rPr>
        <b/>
        <vertAlign val="superscript"/>
        <sz val="10"/>
        <color theme="0"/>
        <rFont val="Arial"/>
        <family val="2"/>
      </rPr>
      <t>3</t>
    </r>
  </si>
  <si>
    <t>Pumping System Annual Power Usage (kWh)</t>
  </si>
  <si>
    <t>Mechanical Spray System Annual Power Usage (kWh)</t>
  </si>
  <si>
    <t>Included in Total Operating Cost</t>
  </si>
  <si>
    <t>Salt Disposal Direct Cost Cash Flow by Year in Current Cost Dollars</t>
  </si>
  <si>
    <t>Annual Salt Production/ Removal (cy/yr)</t>
  </si>
  <si>
    <t>Total Pump and Pipeline Costs if New</t>
  </si>
  <si>
    <t>Water Conveyance Direct Cost Cash Flow by Year in Current Cost Dollars</t>
  </si>
  <si>
    <t>O&amp;M Electrical Annual Cost</t>
  </si>
  <si>
    <t>N/A</t>
  </si>
  <si>
    <t>Sludge disposal ($/cy)</t>
  </si>
  <si>
    <t>Sludge Disposal Direct Cost Cash Flow by Year in Current Cost Dollars</t>
  </si>
  <si>
    <t>Annual Sludge Production/ Removal (cy/yr)</t>
  </si>
  <si>
    <t>Total Operating Cost</t>
  </si>
  <si>
    <t>STS Direct Cost Cash Flow by Year in Current Cost Dollars</t>
  </si>
  <si>
    <t>Labor</t>
  </si>
  <si>
    <t xml:space="preserve"> Replacement O&amp;M</t>
  </si>
  <si>
    <t>Routine Maintenance</t>
  </si>
  <si>
    <t>Reagents</t>
  </si>
  <si>
    <t>Analytical</t>
  </si>
  <si>
    <t>Lime (CaO)</t>
  </si>
  <si>
    <t>Flocculent</t>
  </si>
  <si>
    <t>Acid (35% HCl)</t>
  </si>
  <si>
    <t>Membrane  Chemicals</t>
  </si>
  <si>
    <r>
      <rPr>
        <vertAlign val="superscript"/>
        <sz val="10"/>
        <color theme="1"/>
        <rFont val="Arial"/>
        <family val="2"/>
      </rPr>
      <t>1</t>
    </r>
    <r>
      <rPr>
        <sz val="10"/>
        <color theme="1"/>
        <rFont val="Arial"/>
        <family val="2"/>
      </rPr>
      <t xml:space="preserve"> Replacement O&amp;M and routine maintenance are estimated as a percentage of total direct capital cost. Capital replacement includes cell closure costs.</t>
    </r>
  </si>
  <si>
    <t>STS Capital Cost Estimate Details</t>
  </si>
  <si>
    <t>Item</t>
  </si>
  <si>
    <t>Description</t>
  </si>
  <si>
    <t>Qty</t>
  </si>
  <si>
    <t>UOM</t>
  </si>
  <si>
    <t>Unit $</t>
  </si>
  <si>
    <t>Extended</t>
  </si>
  <si>
    <t>Equipment Cost</t>
  </si>
  <si>
    <t>a</t>
  </si>
  <si>
    <t>each</t>
  </si>
  <si>
    <t>b</t>
  </si>
  <si>
    <t>ls</t>
  </si>
  <si>
    <t xml:space="preserve">Freight </t>
  </si>
  <si>
    <t>Total Direct Equipment</t>
  </si>
  <si>
    <t>Installation Cost</t>
  </si>
  <si>
    <t>Equipment Placement</t>
  </si>
  <si>
    <t>Materials/equipment</t>
  </si>
  <si>
    <t>c</t>
  </si>
  <si>
    <t>Crew size</t>
  </si>
  <si>
    <t>men</t>
  </si>
  <si>
    <t>Duration</t>
  </si>
  <si>
    <t>days</t>
  </si>
  <si>
    <t>Labor subtotal (Group II Laborers)</t>
  </si>
  <si>
    <t>hrs</t>
  </si>
  <si>
    <t>Tank Erection (Clarifier Tank)</t>
  </si>
  <si>
    <t>Ironworker</t>
  </si>
  <si>
    <t>Process Mechanical</t>
  </si>
  <si>
    <t>Labor subtotal (Plumber/Pipefitter)</t>
  </si>
  <si>
    <t>Process Electrical</t>
  </si>
  <si>
    <t>Labor subtotal [Electrician (Lineman/Tech)]</t>
  </si>
  <si>
    <t>Process Controls</t>
  </si>
  <si>
    <t>Per Diem (Facility Electrical, Plumber)</t>
  </si>
  <si>
    <t>Per Day</t>
  </si>
  <si>
    <t>Structural Steel</t>
  </si>
  <si>
    <t>Total Installation Cost</t>
  </si>
  <si>
    <t>Facility Cost</t>
  </si>
  <si>
    <t>Site Work</t>
  </si>
  <si>
    <t>2 x pad area</t>
  </si>
  <si>
    <r>
      <t>ft</t>
    </r>
    <r>
      <rPr>
        <vertAlign val="superscript"/>
        <sz val="10"/>
        <rFont val="Arial"/>
        <family val="2"/>
      </rPr>
      <t>2</t>
    </r>
  </si>
  <si>
    <t>acre</t>
  </si>
  <si>
    <t>Foundations</t>
  </si>
  <si>
    <t>Pad area</t>
  </si>
  <si>
    <t>Average thickness</t>
  </si>
  <si>
    <t>ft</t>
  </si>
  <si>
    <t>Foundation wall width</t>
  </si>
  <si>
    <t>Foundation wall depth</t>
  </si>
  <si>
    <t>Footer width</t>
  </si>
  <si>
    <t>Footer depth</t>
  </si>
  <si>
    <t>Additional allowance</t>
  </si>
  <si>
    <t>%</t>
  </si>
  <si>
    <t>Total concrete</t>
  </si>
  <si>
    <t>cy</t>
  </si>
  <si>
    <t>Building Envelope</t>
  </si>
  <si>
    <t>Building area</t>
  </si>
  <si>
    <t>Building Electrical</t>
  </si>
  <si>
    <t>Electrical Lineman (outside)</t>
  </si>
  <si>
    <t>Labor subtotal</t>
  </si>
  <si>
    <t>Building Plumbing</t>
  </si>
  <si>
    <t>Building HVAC</t>
  </si>
  <si>
    <t>Freight (building)</t>
  </si>
  <si>
    <t>d</t>
  </si>
  <si>
    <t>Commissioning</t>
  </si>
  <si>
    <t>Total Facility Cost</t>
  </si>
  <si>
    <t>Total Capital Cost</t>
  </si>
  <si>
    <t>Total Direct Cost</t>
  </si>
  <si>
    <t>Indirect Costs</t>
  </si>
  <si>
    <t>a = Cost based on quote from vendor.</t>
  </si>
  <si>
    <t>b = Cost based on experience with detailed design and construction of similar treatment systems.</t>
  </si>
  <si>
    <t xml:space="preserve">c = Hours based on experience with detailed design and construction of similar treatment systems, labor rates based on 2019 New Mexico rates.  Per diem based on 2019 New Mexico Subsisistence, Zone and Incentive Pay Rates (per diem applies Plumber/Pipefitter and Electrical Lineman (outside) only. </t>
  </si>
  <si>
    <t>d = Lump sum costs for freight have been included for the major process equipment and the building.  Freight on materials is not included.</t>
  </si>
  <si>
    <t>STS Equipment List</t>
  </si>
  <si>
    <t>Inflation</t>
  </si>
  <si>
    <t>Equipment Name</t>
  </si>
  <si>
    <t>Power, hp</t>
  </si>
  <si>
    <t>Footprint</t>
  </si>
  <si>
    <t>Quantity</t>
  </si>
  <si>
    <r>
      <t xml:space="preserve">Manufacturer/Vendor/ </t>
    </r>
    <r>
      <rPr>
        <b/>
        <i/>
        <sz val="10"/>
        <color theme="0"/>
        <rFont val="Arial"/>
        <family val="2"/>
      </rPr>
      <t>Quote Tab Number</t>
    </r>
  </si>
  <si>
    <t>Base Year</t>
  </si>
  <si>
    <t>Size Costed</t>
  </si>
  <si>
    <t>Base Cost</t>
  </si>
  <si>
    <t>Size Needed</t>
  </si>
  <si>
    <t>Unit</t>
  </si>
  <si>
    <t>New Cost / Base Year</t>
  </si>
  <si>
    <t># Years</t>
  </si>
  <si>
    <t>Notes</t>
  </si>
  <si>
    <t>Spray evaporators</t>
  </si>
  <si>
    <t>Including disconnects</t>
  </si>
  <si>
    <t>SMI quote from Amulsar` - yellow highlighted rows are in process by other groups</t>
  </si>
  <si>
    <t>gpm</t>
  </si>
  <si>
    <t>Weather control and automation package</t>
  </si>
  <si>
    <t>SMI quote from Amulsar`</t>
  </si>
  <si>
    <t>SDF</t>
  </si>
  <si>
    <t>Scaled from previous CCP</t>
  </si>
  <si>
    <t>tons</t>
  </si>
  <si>
    <t>Water conveyance</t>
  </si>
  <si>
    <t>Membrane System, UF and RO systems</t>
  </si>
  <si>
    <t>1,600 gpm, UF is 2 50% units and RO is 3 33% units for flexibility</t>
  </si>
  <si>
    <r>
      <t>WesTech Quote 2019 (</t>
    </r>
    <r>
      <rPr>
        <b/>
        <i/>
        <sz val="10"/>
        <color theme="1"/>
        <rFont val="Arial"/>
        <family val="2"/>
      </rPr>
      <t>Tab 1)</t>
    </r>
  </si>
  <si>
    <t>Reaction Tank</t>
  </si>
  <si>
    <t>Four 32,000 gallon tanks for flexibility, appx 120 min reaction time, baffles, ladder, platform, mixer mount and mixer</t>
  </si>
  <si>
    <r>
      <t xml:space="preserve">WesTech Quote 2019 </t>
    </r>
    <r>
      <rPr>
        <b/>
        <i/>
        <sz val="10"/>
        <color theme="1"/>
        <rFont val="Arial"/>
        <family val="2"/>
      </rPr>
      <t>(Tab 1)</t>
    </r>
  </si>
  <si>
    <t>gal</t>
  </si>
  <si>
    <t>Floc Tank</t>
  </si>
  <si>
    <t>7,000 gallon tank and mixer</t>
  </si>
  <si>
    <r>
      <t xml:space="preserve">Tank Equipment 2019 </t>
    </r>
    <r>
      <rPr>
        <b/>
        <i/>
        <sz val="10"/>
        <color theme="1"/>
        <rFont val="Arial"/>
        <family val="2"/>
      </rPr>
      <t>(Tab 2)</t>
    </r>
    <r>
      <rPr>
        <b/>
        <sz val="10"/>
        <color theme="1"/>
        <rFont val="Arial"/>
        <family val="2"/>
      </rPr>
      <t xml:space="preserve"> </t>
    </r>
  </si>
  <si>
    <t>Sludge Densification Tank</t>
  </si>
  <si>
    <t>2 tanks at 450 gal, with internal baffles, mixer mount and mixer, legs for gravity overflow to reaction tank</t>
  </si>
  <si>
    <t xml:space="preserve">Thickener/Clarifier </t>
  </si>
  <si>
    <t>80' diameter, with feedwell, bridge, ladder, platform</t>
  </si>
  <si>
    <r>
      <t xml:space="preserve">WesTech Quote 2019 </t>
    </r>
    <r>
      <rPr>
        <b/>
        <i/>
        <sz val="10"/>
        <color theme="1"/>
        <rFont val="Arial"/>
        <family val="2"/>
      </rPr>
      <t>(Tab 1</t>
    </r>
    <r>
      <rPr>
        <b/>
        <sz val="10"/>
        <color theme="1"/>
        <rFont val="Arial"/>
        <family val="2"/>
      </rPr>
      <t>)</t>
    </r>
  </si>
  <si>
    <t xml:space="preserve">Sludge Pump </t>
  </si>
  <si>
    <r>
      <t xml:space="preserve">Denver Industrial Pumps 2019 </t>
    </r>
    <r>
      <rPr>
        <b/>
        <i/>
        <sz val="10"/>
        <color theme="1"/>
        <rFont val="Arial"/>
        <family val="2"/>
      </rPr>
      <t>(Tab 3)</t>
    </r>
  </si>
  <si>
    <t>Underflow Pump</t>
  </si>
  <si>
    <t>Polymer system</t>
  </si>
  <si>
    <r>
      <t xml:space="preserve">Velodyne 2019 Quote </t>
    </r>
    <r>
      <rPr>
        <b/>
        <i/>
        <sz val="10"/>
        <color theme="1"/>
        <rFont val="Arial"/>
        <family val="2"/>
      </rPr>
      <t>(Tab 4)</t>
    </r>
  </si>
  <si>
    <t>Lime Silo and Slaker System</t>
  </si>
  <si>
    <t>36,780  lb/day - 39 gpm, 10% slurry</t>
  </si>
  <si>
    <r>
      <t xml:space="preserve">Louisville Dryer Company Quote 2019 </t>
    </r>
    <r>
      <rPr>
        <b/>
        <i/>
        <sz val="10"/>
        <color theme="1"/>
        <rFont val="Arial"/>
        <family val="2"/>
      </rPr>
      <t>(Tab 5)</t>
    </r>
  </si>
  <si>
    <t>pH control system (acid addition)</t>
  </si>
  <si>
    <r>
      <t xml:space="preserve">Denver Industrial Pumps 2019 </t>
    </r>
    <r>
      <rPr>
        <b/>
        <i/>
        <sz val="10"/>
        <color theme="1"/>
        <rFont val="Arial"/>
        <family val="2"/>
      </rPr>
      <t>(Tab 6)</t>
    </r>
  </si>
  <si>
    <t>gph</t>
  </si>
  <si>
    <t>Effluent Neutralization Tank</t>
  </si>
  <si>
    <t>32,000 gallon tank with mixer</t>
  </si>
  <si>
    <r>
      <t xml:space="preserve">WesTech Quote 2019 </t>
    </r>
    <r>
      <rPr>
        <b/>
        <i/>
        <sz val="10"/>
        <color theme="1"/>
        <rFont val="Arial"/>
        <family val="2"/>
      </rPr>
      <t xml:space="preserve"> (Tab 1)</t>
    </r>
  </si>
  <si>
    <t>Sludge Holding Tank</t>
  </si>
  <si>
    <t>13,000 gal</t>
  </si>
  <si>
    <r>
      <t xml:space="preserve">Tank Equipment 2019 </t>
    </r>
    <r>
      <rPr>
        <b/>
        <i/>
        <sz val="10"/>
        <color theme="1"/>
        <rFont val="Arial"/>
        <family val="2"/>
      </rPr>
      <t>(Tab 2</t>
    </r>
    <r>
      <rPr>
        <b/>
        <sz val="10"/>
        <color theme="1"/>
        <rFont val="Arial"/>
        <family val="2"/>
      </rPr>
      <t>)</t>
    </r>
  </si>
  <si>
    <t>Filter Press System</t>
  </si>
  <si>
    <t>ft3</t>
  </si>
  <si>
    <t>Need 3 for max, 2 for avg conditions</t>
  </si>
  <si>
    <t>Filtrate Tank</t>
  </si>
  <si>
    <t>3,000 gal</t>
  </si>
  <si>
    <r>
      <t xml:space="preserve">Tank Equipment 2019 </t>
    </r>
    <r>
      <rPr>
        <b/>
        <i/>
        <sz val="10"/>
        <color theme="1"/>
        <rFont val="Arial"/>
        <family val="2"/>
      </rPr>
      <t>(Tab 2)</t>
    </r>
  </si>
  <si>
    <t>Filtrate Pump</t>
  </si>
  <si>
    <t>Process Water Tank</t>
  </si>
  <si>
    <t>Process Water Return Pump</t>
  </si>
  <si>
    <t>Air Compressor</t>
  </si>
  <si>
    <t>For diaphragm pumps, includes air receiver</t>
  </si>
  <si>
    <t>NA</t>
  </si>
  <si>
    <t>Electrical Equipment</t>
  </si>
  <si>
    <t>Valves and Piping</t>
  </si>
  <si>
    <t>Instrumentation</t>
  </si>
  <si>
    <t>Control System</t>
  </si>
  <si>
    <t>Freight</t>
  </si>
  <si>
    <t>Estimation based on previous experience</t>
  </si>
  <si>
    <t>Total Process Equip</t>
  </si>
  <si>
    <t xml:space="preserve">  </t>
  </si>
  <si>
    <t>TTS Total</t>
  </si>
  <si>
    <t>Assume building load allowance is covered under safety factor of max hp listed for equipment</t>
  </si>
  <si>
    <t>NOTE - Quotes are available in referenced lettered tabs (Column F) in a separate PDF.</t>
  </si>
  <si>
    <t>Yearly Summary for TTS</t>
  </si>
  <si>
    <t>TTS Flow Balance</t>
  </si>
  <si>
    <t>TTS Sulfate Concentration Balance</t>
  </si>
  <si>
    <t>TTS Sludge</t>
  </si>
  <si>
    <t>TTS Power Calculations</t>
  </si>
  <si>
    <t xml:space="preserve"> MA +Interceptor Flow to HDS, gpm</t>
  </si>
  <si>
    <t>MA Flow, gpm</t>
  </si>
  <si>
    <t>HDS Feed (Brine Recycle, MA, Sludge Recycle), gpm</t>
  </si>
  <si>
    <t>Sludge Recycle, gpm</t>
  </si>
  <si>
    <t>HDS to RO, gpm</t>
  </si>
  <si>
    <t>HDS to RO Bypass, gpm</t>
  </si>
  <si>
    <t>RO Membrane (HDS -Bypass) Feed Flow, gpm</t>
  </si>
  <si>
    <t>Permeate, gpm</t>
  </si>
  <si>
    <t>Brine Flow, gpm</t>
  </si>
  <si>
    <t>Brine Recycle Flow (for calculation), gpm</t>
  </si>
  <si>
    <t>Effluent (Perm + RO Bypass) Flow, gpm</t>
  </si>
  <si>
    <t>MA + Interceptor Sulfate, mg/L</t>
  </si>
  <si>
    <t>GW Sulfate, mg/L</t>
  </si>
  <si>
    <t>HDS Feed Sulfate, mg/L</t>
  </si>
  <si>
    <t>HDS Effluent Sulfate AVG, mg/L</t>
  </si>
  <si>
    <t>Membrane Feed Sulfate MAX, mg/L</t>
  </si>
  <si>
    <t>Brine Sulfate, mg/L</t>
  </si>
  <si>
    <t>Effluent Sulfate, mg/L</t>
  </si>
  <si>
    <t xml:space="preserve">Sludge Dry Solids, lb/day </t>
  </si>
  <si>
    <t xml:space="preserve">Sludge Dry Solids (for calculation), lb/day </t>
  </si>
  <si>
    <t>Final Sludge @ 50% Moisture, lb/day</t>
  </si>
  <si>
    <t>Final Sludge @ 50% Moisture, cy/year</t>
  </si>
  <si>
    <t>Lime (CaO) Consumption, lb/day</t>
  </si>
  <si>
    <t>Lime (CaO) Consumption, ton/year</t>
  </si>
  <si>
    <t>Flocculent (Anionic Polymer) Consumption, lb/day</t>
  </si>
  <si>
    <t>Flocculent (Anionic Polymer) Consumption, ton/year</t>
  </si>
  <si>
    <t>Acid (35% HCl) Consumption, lb/day</t>
  </si>
  <si>
    <t>Acid (35%HCl) Consumption, ton/year</t>
  </si>
  <si>
    <t>Antiscalant, lb/year</t>
  </si>
  <si>
    <t>Biocide, lb/year</t>
  </si>
  <si>
    <t>MF High pH Cleaning Chem, lb/year</t>
  </si>
  <si>
    <t>MF Low pH Cleaning Chem, lb/year</t>
  </si>
  <si>
    <t>RO High pH Cleaning Chem, lb/year</t>
  </si>
  <si>
    <t>RO Low pH Cleaning Chem, lb/year</t>
  </si>
  <si>
    <t>Membrane Power (kwh/yr)</t>
  </si>
  <si>
    <t>HDS Power (kwh/yr)</t>
  </si>
  <si>
    <t>Total Power (kwh/year)</t>
  </si>
  <si>
    <t>Sludge, 50% tons/year</t>
  </si>
  <si>
    <t>Average</t>
  </si>
  <si>
    <t>Max</t>
  </si>
  <si>
    <t>Annual Total</t>
  </si>
  <si>
    <t>Max flow used for sizing capital equipment; annual flows used for OPEX</t>
  </si>
  <si>
    <t>Flow values directly from Copy of Combined Flow and Water Quality to Treatment_04082019.xlxs</t>
  </si>
  <si>
    <t>Values for HDS sludge, lime, etc. directly from Updated Chino Mixing v3 1 0leach_TS_REV07192016 (003).xlsx</t>
  </si>
  <si>
    <t>Others values were extrapolated and/or calculated</t>
  </si>
  <si>
    <t>Membrane Bypass</t>
  </si>
  <si>
    <t>Assuming 1600 mg/L SO4 in HDS Effluent, 20 mg/L SO4 in Perm</t>
  </si>
  <si>
    <t>RO Recovery</t>
  </si>
  <si>
    <t>Brine Concentration Factor</t>
  </si>
  <si>
    <t>Interceptor Flow (gpm)</t>
  </si>
  <si>
    <r>
      <t>Main Pit Sulfate</t>
    </r>
    <r>
      <rPr>
        <b/>
        <vertAlign val="superscript"/>
        <sz val="11"/>
        <rFont val="Calibri"/>
        <family val="2"/>
        <scheme val="minor"/>
      </rPr>
      <t>1</t>
    </r>
  </si>
  <si>
    <r>
      <t>Main Pit TDS</t>
    </r>
    <r>
      <rPr>
        <b/>
        <vertAlign val="superscript"/>
        <sz val="11"/>
        <rFont val="Calibri"/>
        <family val="2"/>
        <scheme val="minor"/>
      </rPr>
      <t>1</t>
    </r>
  </si>
  <si>
    <t>(mg/l)</t>
  </si>
  <si>
    <t>Analytical Costs</t>
  </si>
  <si>
    <t>Seep/Interceptor System and NPDES  Collection Points</t>
  </si>
  <si>
    <t>Stockpile Location</t>
  </si>
  <si>
    <t>Pit Location</t>
  </si>
  <si>
    <t>Plant Performance</t>
  </si>
  <si>
    <t>Number of total Samples</t>
  </si>
  <si>
    <t>Cost per Sample</t>
  </si>
  <si>
    <t>Total Cost Estimation</t>
  </si>
  <si>
    <t>Cost per sample</t>
  </si>
  <si>
    <t>Quarterly</t>
  </si>
  <si>
    <t>Semiannual</t>
  </si>
  <si>
    <t>Annual</t>
  </si>
  <si>
    <t>Monthly</t>
  </si>
  <si>
    <t>TOTAL</t>
  </si>
  <si>
    <t>The frequency of sampling and analysis associated with the water management and treatment system is as follows:</t>
  </si>
  <si>
    <t>The high TDS and sulfate water sources will not need to be sampled as part of the O&amp;M for the long-term ETS.</t>
  </si>
  <si>
    <t>TTS performance monitoring including (2) influent and (1) effluent discharge from water treatment plant: monthly beginning in Year 15 and continuing though Year 100.</t>
  </si>
  <si>
    <t>NPDES compliance points: quarterly from Year 1 through Year 12, semiannual from Year 13 through Year 32, and annual thereafter (through Year 100).</t>
  </si>
  <si>
    <t>Discharge from groundwater interceptor system (4 interceptor wells): quarterly from Year 15 through Year 32 (transition period between uncovered and covered flows), and annual thereafter (through Year 100). The groundwater interceptor system will be sampled at the point that all 4 wells are combined into one pipeline.</t>
  </si>
  <si>
    <t>Pits (4 sample points-Main Pit, Gettysburg Pit, Copper Mountain Pit, Savanna Pit): quarterly from Year 15 through Year 32 (transition period between uncovered and covered flows), and annual thereafter (through Year 100).</t>
  </si>
  <si>
    <t xml:space="preserve">TTS O&amp;M Cost Inputs </t>
  </si>
  <si>
    <t>Reagent Inputs</t>
  </si>
  <si>
    <t>Lime (CaO) ($/ton)</t>
  </si>
  <si>
    <t>=</t>
  </si>
  <si>
    <t>Flocculent ($/lb)</t>
  </si>
  <si>
    <t>2019 NALCO Water</t>
  </si>
  <si>
    <t>Hydrochloric Acid - 35% ($/lb)</t>
  </si>
  <si>
    <t>2019 Univar Mining - HCl (35%) from bulk delivery (tote price $0.335/lb)</t>
  </si>
  <si>
    <t>MF High pH Cleaning Chemicals ($/lb)</t>
  </si>
  <si>
    <t>2019 Avista quote - pail price (assume bimonthly cleaning during high flows)</t>
  </si>
  <si>
    <t>MF Low pH Cleaning Chemicals ($/lb)</t>
  </si>
  <si>
    <t>RO High pH Cleaning Chemicals ($/lb)</t>
  </si>
  <si>
    <t>2019 Avista quote - pail price (assume quarterly cleaning during high flows)</t>
  </si>
  <si>
    <t>RO Low pH Cleaning Chemicals ($/lb)</t>
  </si>
  <si>
    <t>Biocide ($/lb)</t>
  </si>
  <si>
    <t>2019 Avista quote - tote price</t>
  </si>
  <si>
    <t>Antiscalant ($/lb)</t>
  </si>
  <si>
    <t>Electricity Input</t>
  </si>
  <si>
    <t>Electricity ($/kwh)</t>
  </si>
  <si>
    <t>https://www.dws.state.nm.us/Portals/0/DM/LaborRelations/Prevailing_Wage_Poster_H_2019_final.pdf</t>
  </si>
  <si>
    <t>Analytical Input</t>
  </si>
  <si>
    <t>Analytical Cost ($/sample)</t>
  </si>
  <si>
    <t>Labor Inputs</t>
  </si>
  <si>
    <t>NOTE - Type A schedule used for operating labor and Type H schedule used for construction labor</t>
  </si>
  <si>
    <t>Operator Base Rate</t>
  </si>
  <si>
    <t>Supervisor Rate</t>
  </si>
  <si>
    <t>Maintenance Technician Rate</t>
  </si>
  <si>
    <t>Operator Fringe Rate</t>
  </si>
  <si>
    <t xml:space="preserve">Laborer (Group II) </t>
  </si>
  <si>
    <t xml:space="preserve">Plumber/Pipefitter </t>
  </si>
  <si>
    <t>Electrician (Lineman/Tech Outside)</t>
  </si>
  <si>
    <t>Electrician (Wireman/Tech Inside)</t>
  </si>
  <si>
    <t>Maintenance</t>
  </si>
  <si>
    <t>of Direct Capital Cost</t>
  </si>
  <si>
    <t xml:space="preserve">per day for Plumber/Pipefitter, Electrical Lineman/Tech (outside).  2019 NM Department of Labor Type H (Heavy Engineering), 2019 Subsistence, Zone, and Incentive Pay Rates </t>
  </si>
  <si>
    <t>Per Diem Subsistence, Zone and Incentive</t>
  </si>
  <si>
    <t>Example Calculations</t>
  </si>
  <si>
    <t>Flow and Sulfate Inputs</t>
  </si>
  <si>
    <t>Max Year</t>
  </si>
  <si>
    <t>Membrane Max Flow rate</t>
  </si>
  <si>
    <t>Membrane Avg Flow rate</t>
  </si>
  <si>
    <t>HDS Equipment Max Flow rate</t>
  </si>
  <si>
    <t>HDS Equipment Avg Flow rate</t>
  </si>
  <si>
    <t>HDS Sulfate Max</t>
  </si>
  <si>
    <t>mg/L</t>
  </si>
  <si>
    <t>HDS Sulfate Avg</t>
  </si>
  <si>
    <t>Sludge Recycle Avg Flow rate</t>
  </si>
  <si>
    <t>Sludge Max (50% Solids)</t>
  </si>
  <si>
    <t>lb/day</t>
  </si>
  <si>
    <t>Sludge Avg (50% Solids)</t>
  </si>
  <si>
    <t>Effluent Neutralization Max (if necessary)</t>
  </si>
  <si>
    <t>Effluent Neutralization Avg Flow rate(if necessary)</t>
  </si>
  <si>
    <t>Equipment sizing based on maximum flows, operating costs based on average flows.</t>
  </si>
  <si>
    <t>Van Riper Study (2002) Inputs</t>
  </si>
  <si>
    <t>Lime Consumption Factor</t>
  </si>
  <si>
    <t>mg/L CaO/mg/L SO4</t>
  </si>
  <si>
    <t>5,270 mg/L CaO needed to treat high metals AMD water with sulfate concentration of 10,040 mg/L</t>
  </si>
  <si>
    <t>Sulfuric Acid Consumption Factor</t>
  </si>
  <si>
    <t>lb/gal</t>
  </si>
  <si>
    <t>0.028 pounds per 1,000 gallons (50 mg acid per liter of water treated)</t>
  </si>
  <si>
    <t>Sludge Factor</t>
  </si>
  <si>
    <t>mg/L Sludge/mg/L SO4</t>
  </si>
  <si>
    <t>21,000 mg/L Sludge for 10,040 mg/L SO4</t>
  </si>
  <si>
    <t>Van Riper treatability study results used to detemine lime usage and sludge production according to the factors listed above and the sulfate concentration.</t>
  </si>
  <si>
    <t>HDS Chemical Precipitation</t>
  </si>
  <si>
    <t xml:space="preserve">Reaction Tank </t>
  </si>
  <si>
    <t>Tank size</t>
  </si>
  <si>
    <t>x</t>
  </si>
  <si>
    <t>min</t>
  </si>
  <si>
    <t>Need 4 reaction tanks - to provide minimum of 90</t>
  </si>
  <si>
    <t>min retention time at max flow and minimum of 120 min</t>
  </si>
  <si>
    <t>retention time at avg flow</t>
  </si>
  <si>
    <t>Freeboard</t>
  </si>
  <si>
    <t>each tank, total of 4 tanks for approximately 90 min reaction time</t>
  </si>
  <si>
    <r>
      <t>ft</t>
    </r>
    <r>
      <rPr>
        <vertAlign val="superscript"/>
        <sz val="11"/>
        <color theme="1"/>
        <rFont val="Arial"/>
        <family val="2"/>
      </rPr>
      <t>3</t>
    </r>
  </si>
  <si>
    <r>
      <t>ft</t>
    </r>
    <r>
      <rPr>
        <b/>
        <vertAlign val="superscript"/>
        <sz val="11"/>
        <color theme="1"/>
        <rFont val="Arial"/>
        <family val="2"/>
      </rPr>
      <t>3</t>
    </r>
  </si>
  <si>
    <t>Tank Height</t>
  </si>
  <si>
    <t>Diameter</t>
  </si>
  <si>
    <t>π</t>
  </si>
  <si>
    <t>Mixing Requirement</t>
  </si>
  <si>
    <t>N-s</t>
  </si>
  <si>
    <r>
      <t>ft</t>
    </r>
    <r>
      <rPr>
        <vertAlign val="superscript"/>
        <sz val="11"/>
        <rFont val="Arial"/>
        <family val="2"/>
      </rPr>
      <t>3</t>
    </r>
  </si>
  <si>
    <r>
      <t>m</t>
    </r>
    <r>
      <rPr>
        <vertAlign val="superscript"/>
        <sz val="11"/>
        <rFont val="Arial"/>
        <family val="2"/>
      </rPr>
      <t>3</t>
    </r>
  </si>
  <si>
    <t>W</t>
  </si>
  <si>
    <r>
      <t>m</t>
    </r>
    <r>
      <rPr>
        <vertAlign val="superscript"/>
        <sz val="11"/>
        <rFont val="Arial"/>
        <family val="2"/>
      </rPr>
      <t>2</t>
    </r>
  </si>
  <si>
    <t>kW</t>
  </si>
  <si>
    <t>sec</t>
  </si>
  <si>
    <t>Clarifier</t>
  </si>
  <si>
    <t>Tank size (based on Clarification)</t>
  </si>
  <si>
    <r>
      <t>ft</t>
    </r>
    <r>
      <rPr>
        <vertAlign val="superscript"/>
        <sz val="11"/>
        <rFont val="Arial"/>
        <family val="2"/>
      </rPr>
      <t>2</t>
    </r>
  </si>
  <si>
    <r>
      <t>Use conservative loading rate of 0.3 gpm/ft</t>
    </r>
    <r>
      <rPr>
        <vertAlign val="superscript"/>
        <sz val="10"/>
        <rFont val="Arial"/>
        <family val="2"/>
      </rPr>
      <t>2</t>
    </r>
  </si>
  <si>
    <t xml:space="preserve">considering sludge is primarily calcium sulfate and </t>
  </si>
  <si>
    <r>
      <t>ft</t>
    </r>
    <r>
      <rPr>
        <b/>
        <vertAlign val="superscript"/>
        <sz val="11"/>
        <color theme="1"/>
        <rFont val="Arial"/>
        <family val="2"/>
      </rPr>
      <t>2</t>
    </r>
  </si>
  <si>
    <t>iron hydroxide and densified.</t>
  </si>
  <si>
    <t>Diameter (based on Clarification)</t>
  </si>
  <si>
    <r>
      <t>ft</t>
    </r>
    <r>
      <rPr>
        <vertAlign val="superscript"/>
        <sz val="11"/>
        <color theme="1"/>
        <rFont val="Arial"/>
        <family val="2"/>
      </rPr>
      <t>2</t>
    </r>
  </si>
  <si>
    <t>Depth (based on Clarification)</t>
  </si>
  <si>
    <t>Overflow</t>
  </si>
  <si>
    <t>Solids underflow</t>
  </si>
  <si>
    <t>lb</t>
  </si>
  <si>
    <t>kg</t>
  </si>
  <si>
    <t>day</t>
  </si>
  <si>
    <t>Solids recycle (max)</t>
  </si>
  <si>
    <t>Recycles</t>
  </si>
  <si>
    <t>(assumption)</t>
  </si>
  <si>
    <t>solids</t>
  </si>
  <si>
    <t>SG</t>
  </si>
  <si>
    <t>gal/min</t>
  </si>
  <si>
    <t>Effluent Neutralization System</t>
  </si>
  <si>
    <t>Discharge System</t>
  </si>
  <si>
    <t>Discharge Tank</t>
  </si>
  <si>
    <t>Solids Management</t>
  </si>
  <si>
    <t>Sludge Storage Tank</t>
  </si>
  <si>
    <t>Sludge Production</t>
  </si>
  <si>
    <t>mg Sludge</t>
  </si>
  <si>
    <t>L</t>
  </si>
  <si>
    <t>per Hazen Research, Inc., May 3, 2002</t>
  </si>
  <si>
    <r>
      <t>mg SO</t>
    </r>
    <r>
      <rPr>
        <vertAlign val="subscript"/>
        <sz val="11"/>
        <color theme="1"/>
        <rFont val="Arial"/>
        <family val="2"/>
      </rPr>
      <t>4</t>
    </r>
  </si>
  <si>
    <t>Van Riper Factor (Sulfate x Factor = sludge)</t>
  </si>
  <si>
    <t>Influent Concentration</t>
  </si>
  <si>
    <t>mg/L Sludge</t>
  </si>
  <si>
    <r>
      <t>mg/L SO</t>
    </r>
    <r>
      <rPr>
        <vertAlign val="subscript"/>
        <sz val="11"/>
        <color theme="1"/>
        <rFont val="Arial"/>
        <family val="2"/>
      </rPr>
      <t>4</t>
    </r>
  </si>
  <si>
    <t>Influent Dry Solids</t>
  </si>
  <si>
    <t>mg</t>
  </si>
  <si>
    <t>Influent Wet Cake</t>
  </si>
  <si>
    <t>Wet Cake</t>
  </si>
  <si>
    <t>Dry Solids</t>
  </si>
  <si>
    <t>Influent Wet Solids</t>
  </si>
  <si>
    <t>Wet Solids</t>
  </si>
  <si>
    <t>(Clarifier Underflow)</t>
  </si>
  <si>
    <t>Water Content</t>
  </si>
  <si>
    <t>-</t>
  </si>
  <si>
    <t>(filtrate from dewatering)</t>
  </si>
  <si>
    <t>Volume of Cake - Max</t>
  </si>
  <si>
    <t>yr</t>
  </si>
  <si>
    <r>
      <t>ft</t>
    </r>
    <r>
      <rPr>
        <b/>
        <vertAlign val="superscript"/>
        <sz val="11"/>
        <color theme="1"/>
        <rFont val="Arial"/>
        <family val="2"/>
      </rPr>
      <t>3</t>
    </r>
    <r>
      <rPr>
        <b/>
        <sz val="11"/>
        <color theme="1"/>
        <rFont val="Arial"/>
        <family val="2"/>
      </rPr>
      <t>/yr</t>
    </r>
  </si>
  <si>
    <t>Filter Press Size - Max</t>
  </si>
  <si>
    <t>cycle</t>
  </si>
  <si>
    <t>filter presses online</t>
  </si>
  <si>
    <t>2 shifts, 3 presses</t>
  </si>
  <si>
    <t>op</t>
  </si>
  <si>
    <r>
      <t>ft</t>
    </r>
    <r>
      <rPr>
        <b/>
        <vertAlign val="superscript"/>
        <sz val="11"/>
        <color theme="1"/>
        <rFont val="Arial"/>
        <family val="2"/>
      </rPr>
      <t>3</t>
    </r>
    <r>
      <rPr>
        <b/>
        <sz val="11"/>
        <color theme="1"/>
        <rFont val="Arial"/>
        <family val="2"/>
      </rPr>
      <t>/cycle/filter press</t>
    </r>
  </si>
  <si>
    <t>Volume of Cake - Average</t>
  </si>
  <si>
    <t>Filter Press Size - Avg</t>
  </si>
  <si>
    <t>1 shift 3 presses</t>
  </si>
  <si>
    <t xml:space="preserve">Sludge storage tank </t>
  </si>
  <si>
    <t>Filtrate</t>
  </si>
  <si>
    <t>Chemical Addition Systems</t>
  </si>
  <si>
    <t>Lime Chemical Addition System</t>
  </si>
  <si>
    <t>Lime Consumption</t>
  </si>
  <si>
    <t>mg CaO</t>
  </si>
  <si>
    <r>
      <t>mg/L CaO / mg/L SO</t>
    </r>
    <r>
      <rPr>
        <b/>
        <vertAlign val="subscript"/>
        <sz val="11"/>
        <color theme="1"/>
        <rFont val="Arial"/>
        <family val="2"/>
      </rPr>
      <t>4</t>
    </r>
  </si>
  <si>
    <t>Lime, CaO</t>
  </si>
  <si>
    <t>mg/L CaO</t>
  </si>
  <si>
    <t>lb CaO/day</t>
  </si>
  <si>
    <r>
      <t>Volume, 10% Ca(OH)</t>
    </r>
    <r>
      <rPr>
        <vertAlign val="subscript"/>
        <sz val="11"/>
        <color theme="1"/>
        <rFont val="Arial"/>
        <family val="2"/>
      </rPr>
      <t>2</t>
    </r>
    <r>
      <rPr>
        <sz val="11"/>
        <color theme="1"/>
        <rFont val="Arial"/>
        <family val="2"/>
      </rPr>
      <t xml:space="preserve"> slurry</t>
    </r>
  </si>
  <si>
    <t>Concentration</t>
  </si>
  <si>
    <r>
      <t>mg CaOH</t>
    </r>
    <r>
      <rPr>
        <vertAlign val="subscript"/>
        <sz val="11"/>
        <color theme="1"/>
        <rFont val="Arial"/>
        <family val="2"/>
      </rPr>
      <t>2</t>
    </r>
  </si>
  <si>
    <t>From FMI's Calcs</t>
  </si>
  <si>
    <t>Factor</t>
  </si>
  <si>
    <t>Lime Consumption, as CaO</t>
  </si>
  <si>
    <t>lb CaO</t>
  </si>
  <si>
    <t>lb CaO/gal</t>
  </si>
  <si>
    <t>Chemical Usage, as CaO</t>
  </si>
  <si>
    <t>lbs CaO</t>
  </si>
  <si>
    <t>ton</t>
  </si>
  <si>
    <t>lbs</t>
  </si>
  <si>
    <t>ton CaO/yr</t>
  </si>
  <si>
    <t>Densification Tank (lime slurry + recycled sludge)</t>
  </si>
  <si>
    <t xml:space="preserve">Flocculent Chemical Addition System </t>
  </si>
  <si>
    <t>Mass</t>
  </si>
  <si>
    <t>Estimated from experience</t>
  </si>
  <si>
    <t>(typically moderately anionic polymer)</t>
  </si>
  <si>
    <t>lb/min</t>
  </si>
  <si>
    <t>Usage</t>
  </si>
  <si>
    <t>lb/yr-gpm</t>
  </si>
  <si>
    <t>Volume</t>
  </si>
  <si>
    <t>hr</t>
  </si>
  <si>
    <t xml:space="preserve">HCl Acid Chemical Addition </t>
  </si>
  <si>
    <t>NOTE:  2018 UPDATE INCLUDES USING HCL INSTEAD OF SULFURIC - THE FOLLOWING CONVERSION FACTOR IS INCORPORATED INTO THE SUMMARY SHEET TO CONVERT 93% SULFURIC USAGE TO 35% HCL USAGE</t>
  </si>
  <si>
    <t>lb 93% H2SO4</t>
  </si>
  <si>
    <t>lb H2SO4</t>
  </si>
  <si>
    <t>mol H2SO4</t>
  </si>
  <si>
    <t>mols H+</t>
  </si>
  <si>
    <t>mol HCl</t>
  </si>
  <si>
    <t>lb HCl</t>
  </si>
  <si>
    <t>lb 35%</t>
  </si>
  <si>
    <t>lb 93%</t>
  </si>
  <si>
    <t xml:space="preserve"> mol H2SO4</t>
  </si>
  <si>
    <t>mol H+</t>
  </si>
  <si>
    <t>factor lb SO4(93%)/gal to lb HCl (35%)/gal</t>
  </si>
  <si>
    <t>lb 35%HCL/gal</t>
  </si>
  <si>
    <t>HCl (35%) Acid Consumption</t>
  </si>
  <si>
    <t>lbs H2SO4 (93%)</t>
  </si>
  <si>
    <t>lbs HCl (35%)</t>
  </si>
  <si>
    <t xml:space="preserve">Used Van Riper Consulting, 2002 for H2SO4 </t>
  </si>
  <si>
    <t>then converted to 35% HCl</t>
  </si>
  <si>
    <t>lbs/gal</t>
  </si>
  <si>
    <t>Chemical Usage</t>
  </si>
  <si>
    <t>lbs/yr</t>
  </si>
  <si>
    <t>MF Cleaning Chemicals</t>
  </si>
  <si>
    <t>High pH Cleaner Mass</t>
  </si>
  <si>
    <t>cleanings</t>
  </si>
  <si>
    <t>month</t>
  </si>
  <si>
    <t>pail</t>
  </si>
  <si>
    <t>cleaning</t>
  </si>
  <si>
    <t xml:space="preserve">and advice from Avista </t>
  </si>
  <si>
    <t>lb/yr</t>
  </si>
  <si>
    <t>High pH Cleaner Usage Rate</t>
  </si>
  <si>
    <t>lb MF Cleaning Chem</t>
  </si>
  <si>
    <t>year</t>
  </si>
  <si>
    <t>Low pH Cleaner Mass</t>
  </si>
  <si>
    <t>Low pH Cleaner Usage Rate</t>
  </si>
  <si>
    <t>RO Cleaning Chemicals</t>
  </si>
  <si>
    <t>and avista advice</t>
  </si>
  <si>
    <t>Antiscalant</t>
  </si>
  <si>
    <t>Biocide</t>
  </si>
  <si>
    <t>Process Water (Does not include slaking water)</t>
  </si>
  <si>
    <t>Water required</t>
  </si>
  <si>
    <t>Polymer make-down</t>
  </si>
  <si>
    <t>+</t>
  </si>
  <si>
    <t>Lime make-down</t>
  </si>
  <si>
    <t>Power Consumption</t>
  </si>
  <si>
    <t>Membrane System</t>
  </si>
  <si>
    <t>hp</t>
  </si>
  <si>
    <t>kw</t>
  </si>
  <si>
    <t>Plus 5% for building load</t>
  </si>
  <si>
    <t>kw-hr/year</t>
  </si>
  <si>
    <t>kw-hr</t>
  </si>
  <si>
    <t>kw-hr/gpm-yr</t>
  </si>
  <si>
    <t xml:space="preserve">HDS System </t>
  </si>
  <si>
    <t>Labor Cost Estimate - TTS and SDF Operations</t>
  </si>
  <si>
    <t>Year 15 Solids</t>
  </si>
  <si>
    <r>
      <t>Max Solids - All 3 shifts</t>
    </r>
    <r>
      <rPr>
        <b/>
        <vertAlign val="superscript"/>
        <sz val="10"/>
        <color rgb="FF008091"/>
        <rFont val="Arial"/>
        <family val="2"/>
      </rPr>
      <t>1</t>
    </r>
  </si>
  <si>
    <t>Day shift - 1 supervisor, 2 maintenance - 40 hrs a week 
(also used for ETS, SDF, Salt Disposal Facility)
Operators at 6 Per shift as follows - 2 filter press, 1 lime silo, 1 membrane, 1 HDS, 1 pumps/pipelines (conveyance and discharge) and ETS.  2 shifts each 8 hr days, 7 days week, Covered by 2 crews that work full-time 8 hr shifts 5 days per week (one crew on days and one on evenings).  Assumes 2 crews on weekends both working part-time hours to cover the 2 8-hour shifts per day on weekends.</t>
  </si>
  <si>
    <t>Note that the sludge falls by 10% from year 15 to year 25 so at year 25% a 10% deduction is taken on the total labor cost.  At Year 43 the sludge decreases another 10% so another 10% decrease in annual labor cost is included at year 43 and again at year 92.</t>
  </si>
  <si>
    <r>
      <t>Operators</t>
    </r>
    <r>
      <rPr>
        <vertAlign val="superscript"/>
        <sz val="10"/>
        <color theme="1"/>
        <rFont val="Arial"/>
        <family val="2"/>
      </rPr>
      <t>2</t>
    </r>
  </si>
  <si>
    <t>Operator Rate</t>
  </si>
  <si>
    <r>
      <t xml:space="preserve">Reg Operator Hours </t>
    </r>
    <r>
      <rPr>
        <vertAlign val="superscript"/>
        <sz val="10"/>
        <color theme="1"/>
        <rFont val="Arial"/>
        <family val="2"/>
      </rPr>
      <t>2</t>
    </r>
  </si>
  <si>
    <t xml:space="preserve">Operator Hours </t>
  </si>
  <si>
    <t>Supervisor Hours (5 day/wk)</t>
  </si>
  <si>
    <t>Maintenance Techs</t>
  </si>
  <si>
    <r>
      <t>Maintenance Tech Rates</t>
    </r>
    <r>
      <rPr>
        <vertAlign val="superscript"/>
        <sz val="10"/>
        <color theme="1"/>
        <rFont val="Arial"/>
        <family val="2"/>
      </rPr>
      <t>4</t>
    </r>
  </si>
  <si>
    <t>Maintenance Tech Rates</t>
  </si>
  <si>
    <t>Maintenance Tech Hours (5 day/wk)</t>
  </si>
  <si>
    <t xml:space="preserve">Maintenance Tech Hours </t>
  </si>
  <si>
    <t>Maintenance Tech Total Cost</t>
  </si>
  <si>
    <t>Sub-Total Labor Cost</t>
  </si>
  <si>
    <r>
      <t>Overtime for supervisor</t>
    </r>
    <r>
      <rPr>
        <vertAlign val="superscript"/>
        <sz val="10"/>
        <color theme="1"/>
        <rFont val="Arial"/>
        <family val="2"/>
      </rPr>
      <t>5</t>
    </r>
  </si>
  <si>
    <t>Overtime hours for supervisor</t>
  </si>
  <si>
    <t>Supervisor Overtime Total Cost</t>
  </si>
  <si>
    <r>
      <t>Overtime for maintenance</t>
    </r>
    <r>
      <rPr>
        <vertAlign val="superscript"/>
        <sz val="10"/>
        <color theme="1"/>
        <rFont val="Arial"/>
        <family val="2"/>
      </rPr>
      <t>5</t>
    </r>
  </si>
  <si>
    <t>Overtime hours for maintenance</t>
  </si>
  <si>
    <t>Maintenance Overtime Total Cost</t>
  </si>
  <si>
    <r>
      <t>Overtime for operators</t>
    </r>
    <r>
      <rPr>
        <vertAlign val="superscript"/>
        <sz val="10"/>
        <color theme="1"/>
        <rFont val="Arial"/>
        <family val="2"/>
      </rPr>
      <t>5</t>
    </r>
  </si>
  <si>
    <r>
      <t>Overtime hours for operators</t>
    </r>
    <r>
      <rPr>
        <vertAlign val="superscript"/>
        <sz val="10"/>
        <color theme="1"/>
        <rFont val="Arial"/>
        <family val="2"/>
      </rPr>
      <t>5</t>
    </r>
  </si>
  <si>
    <r>
      <t>Benefits fringe rate per hour</t>
    </r>
    <r>
      <rPr>
        <vertAlign val="superscript"/>
        <sz val="10"/>
        <color theme="1"/>
        <rFont val="Arial"/>
        <family val="2"/>
      </rPr>
      <t>6</t>
    </r>
  </si>
  <si>
    <t xml:space="preserve">Number of employees </t>
  </si>
  <si>
    <t>ops</t>
  </si>
  <si>
    <t>hrs/op</t>
  </si>
  <si>
    <t>Total Labor Cost</t>
  </si>
  <si>
    <t xml:space="preserve">Sludge (lb/day) </t>
  </si>
  <si>
    <t>Sludge (lb/day)</t>
  </si>
  <si>
    <t>Labor Cost/lb sludge ($/d)</t>
  </si>
  <si>
    <r>
      <rPr>
        <vertAlign val="superscript"/>
        <sz val="10"/>
        <rFont val="Arial"/>
        <family val="2"/>
      </rPr>
      <t>1</t>
    </r>
    <r>
      <rPr>
        <sz val="10"/>
        <rFont val="Arial"/>
        <family val="2"/>
      </rPr>
      <t xml:space="preserve"> Operator numbers are estimated from Golder's experience with operating similar plants.</t>
    </r>
  </si>
  <si>
    <r>
      <rPr>
        <vertAlign val="superscript"/>
        <sz val="10"/>
        <rFont val="Arial"/>
        <family val="2"/>
      </rPr>
      <t>3</t>
    </r>
    <r>
      <rPr>
        <sz val="10"/>
        <rFont val="Arial"/>
        <family val="2"/>
      </rPr>
      <t xml:space="preserve"> Rate per operator is from 2019 NM Type "A" Street, Highway, Utility &amp; Light Engineering Prevailing Wages. Operator Group X. 
https://www.dws.state.nm.us/Portals/0/DM/LaborRelations/Prevailing_Wage_Poster_A_2019_final.pdf. </t>
    </r>
  </si>
  <si>
    <r>
      <rPr>
        <vertAlign val="superscript"/>
        <sz val="10"/>
        <rFont val="Arial"/>
        <family val="2"/>
      </rPr>
      <t>4</t>
    </r>
    <r>
      <rPr>
        <sz val="10"/>
        <rFont val="Arial"/>
        <family val="2"/>
      </rPr>
      <t xml:space="preserve"> 2019 NM Type "A" Street, Highway, Utility &amp; Light Engineering Prevailing Wages. Operator Group V. 
https://www.dws.state.nm.us/Portals/0/DM/LaborRelations/Prevailing_Wage_Poster_A_2019_final.pdf</t>
    </r>
  </si>
  <si>
    <r>
      <rPr>
        <vertAlign val="superscript"/>
        <sz val="10"/>
        <rFont val="Arial"/>
        <family val="2"/>
      </rPr>
      <t>5</t>
    </r>
    <r>
      <rPr>
        <sz val="10"/>
        <rFont val="Arial"/>
        <family val="2"/>
      </rPr>
      <t>Overtime for supervisor/maintenance at 10% of regular time hours is for call-outs when off-shift (nights and weekends). Overtime for operators includes average of 15% for nightime callouts (midnight to 8 am), unexpected projects, covering sick time, holiday work, etc).  Overtime rate for operators assumes "worst-case" situation and that the part-time weekend operators are not available to cover and the full-time operators must cover at the Overtime rate.</t>
    </r>
  </si>
  <si>
    <r>
      <rPr>
        <vertAlign val="superscript"/>
        <sz val="10"/>
        <rFont val="Arial"/>
        <family val="2"/>
      </rPr>
      <t>6</t>
    </r>
    <r>
      <rPr>
        <sz val="10"/>
        <rFont val="Arial"/>
        <family val="2"/>
      </rPr>
      <t xml:space="preserve"> 2019 NM Type "A" Street, Highway, Utility &amp; Light Engineering Prevailing Wages. All Operator groups. 
https://www.dws.state.nm.us/Portals/0/DM/LaborRelations/Prevailing_Wage_Poster_A_2019_final.pdf</t>
    </r>
  </si>
  <si>
    <t xml:space="preserve"> O&amp;M Quantity Comparison Summary Table</t>
  </si>
  <si>
    <t>Chino Mine Closure Closeout Plan</t>
  </si>
  <si>
    <t>Comparison of Chino and Tyrone</t>
  </si>
  <si>
    <t>Units</t>
  </si>
  <si>
    <t>Chino</t>
  </si>
  <si>
    <t>Tyrone with recycle</t>
  </si>
  <si>
    <t>Tyrone with evaporation</t>
  </si>
  <si>
    <t>South Mine Area Water Treatment System (STS)</t>
  </si>
  <si>
    <t>Water Collection/Conveyance for STS</t>
  </si>
  <si>
    <t>Sludge Disposal Facility for STS</t>
  </si>
  <si>
    <r>
      <t>Capital</t>
    </r>
    <r>
      <rPr>
        <b/>
        <vertAlign val="superscript"/>
        <sz val="10"/>
        <rFont val="Arial"/>
        <family val="2"/>
      </rPr>
      <t>1</t>
    </r>
  </si>
  <si>
    <r>
      <t>Pumps and Pipeline  Replacement O&amp;M</t>
    </r>
    <r>
      <rPr>
        <b/>
        <vertAlign val="superscript"/>
        <sz val="10"/>
        <rFont val="Arial"/>
        <family val="2"/>
      </rPr>
      <t>2</t>
    </r>
  </si>
  <si>
    <r>
      <t>Tanks and Reservoir  Replacement O&amp;M</t>
    </r>
    <r>
      <rPr>
        <b/>
        <vertAlign val="superscript"/>
        <sz val="10"/>
        <rFont val="Arial"/>
        <family val="2"/>
      </rPr>
      <t>2</t>
    </r>
  </si>
  <si>
    <r>
      <t>Pumps and Pipeline Routine Maintenance</t>
    </r>
    <r>
      <rPr>
        <b/>
        <vertAlign val="superscript"/>
        <sz val="10"/>
        <rFont val="Arial"/>
        <family val="2"/>
      </rPr>
      <t>3</t>
    </r>
  </si>
  <si>
    <r>
      <t>Tanks and Reservoir Routine Maintenance</t>
    </r>
    <r>
      <rPr>
        <b/>
        <vertAlign val="superscript"/>
        <sz val="10"/>
        <rFont val="Arial"/>
        <family val="2"/>
      </rPr>
      <t>3</t>
    </r>
  </si>
  <si>
    <r>
      <t>O&amp;M Labor</t>
    </r>
    <r>
      <rPr>
        <b/>
        <vertAlign val="superscript"/>
        <sz val="10"/>
        <rFont val="Arial"/>
        <family val="2"/>
      </rPr>
      <t>4</t>
    </r>
  </si>
  <si>
    <t>PNM Method of Calculation (Avg ($/kWh) Years 15 through 100) using 2019 PNM Rate Schedule</t>
  </si>
  <si>
    <t>PNM Method of Calculation (Avg ($/kWh) Years 1 through 14) using 2019 PNM Rate Schedule</t>
  </si>
  <si>
    <r>
      <rPr>
        <vertAlign val="superscript"/>
        <sz val="10"/>
        <rFont val="Arial"/>
        <family val="2"/>
      </rPr>
      <t>1</t>
    </r>
    <r>
      <rPr>
        <sz val="10"/>
        <rFont val="Arial"/>
        <family val="2"/>
      </rPr>
      <t xml:space="preserve"> Replacement O&amp;M costs are estimated at 1.8% of the total capital cost for the complete long-term ETS (pumps, pipelines, tanks, reservoirs, and sprayers).  A higher percentage of capital cost is estimated given that existing pumps, pipelines, tanks and reservoirs will be utilized initially up until their associated life expectancies are met and will require replacement sooner than if new equipment was utilized initially.   The spray systems from the short-ter ETS will be utilized through Year 19.  In Year 20, 4 new spray evaporation units will be purchased.  A higher percentage capital cost is estimated to ensure conservatism and to align with existing existing pumps, pipelines, tanks and reservoirs O&amp;M Replacement estimates.</t>
    </r>
  </si>
  <si>
    <r>
      <rPr>
        <vertAlign val="superscript"/>
        <sz val="10"/>
        <rFont val="Arial"/>
        <family val="2"/>
      </rPr>
      <t xml:space="preserve">2 </t>
    </r>
    <r>
      <rPr>
        <sz val="10"/>
        <rFont val="Arial"/>
        <family val="2"/>
      </rPr>
      <t xml:space="preserve">Routine maintenance is estimated at 1.5% of the total capital cost for the complete long-term ETS (pumps, pipelines, tanks, reservoirs, and sprayers).  Routine maintenance includes materials needed for preventative maintenance such as mechanical seals, lubricant, valve sleeves, fuses, etc. </t>
    </r>
  </si>
  <si>
    <r>
      <t xml:space="preserve"> Replacement O&amp;M</t>
    </r>
    <r>
      <rPr>
        <vertAlign val="superscript"/>
        <sz val="10"/>
        <rFont val="Arial"/>
        <family val="2"/>
      </rPr>
      <t>1</t>
    </r>
  </si>
  <si>
    <r>
      <t>Routine Maintenance</t>
    </r>
    <r>
      <rPr>
        <b/>
        <vertAlign val="superscript"/>
        <sz val="10"/>
        <rFont val="Arial"/>
        <family val="2"/>
      </rPr>
      <t>2</t>
    </r>
  </si>
  <si>
    <r>
      <t>O&amp;M Labor</t>
    </r>
    <r>
      <rPr>
        <b/>
        <vertAlign val="superscript"/>
        <sz val="10"/>
        <rFont val="Arial"/>
        <family val="2"/>
      </rPr>
      <t>2</t>
    </r>
  </si>
  <si>
    <r>
      <t>Total Operating Cost</t>
    </r>
    <r>
      <rPr>
        <b/>
        <vertAlign val="superscript"/>
        <sz val="10"/>
        <rFont val="Arial"/>
        <family val="2"/>
      </rPr>
      <t>3</t>
    </r>
  </si>
  <si>
    <r>
      <rPr>
        <vertAlign val="superscript"/>
        <sz val="10"/>
        <rFont val="Arial"/>
        <family val="2"/>
      </rPr>
      <t>1</t>
    </r>
    <r>
      <rPr>
        <sz val="10"/>
        <rFont val="Arial"/>
        <family val="2"/>
      </rPr>
      <t xml:space="preserve"> Replacement O&amp;M is estimated only at 0.25% of the total capital cost since the capital cost of the facility is high since it is a lined facility.  Costs associated with closure of each of the four individual cells comprising the salt disposal facility (approximately 316,324 cubic yards per cell).  Closure includes grading, three foot of earthen cover, and revegetation. Initial capital cost for construction of salt disposal facility (by RS Means) shown in Year 9.</t>
    </r>
  </si>
  <si>
    <r>
      <rPr>
        <vertAlign val="superscript"/>
        <sz val="10"/>
        <rFont val="Arial"/>
        <family val="2"/>
      </rPr>
      <t>2</t>
    </r>
    <r>
      <rPr>
        <sz val="10"/>
        <rFont val="Arial"/>
        <family val="2"/>
      </rPr>
      <t xml:space="preserve"> Routine Maintenance and O&amp;M Labor is included in the Total Operating Cost calculation.  </t>
    </r>
  </si>
  <si>
    <r>
      <t>Replacement O&amp;M</t>
    </r>
    <r>
      <rPr>
        <vertAlign val="superscript"/>
        <sz val="10"/>
        <rFont val="Arial"/>
        <family val="2"/>
      </rPr>
      <t>1</t>
    </r>
  </si>
  <si>
    <r>
      <t>Routine Maintenance</t>
    </r>
    <r>
      <rPr>
        <vertAlign val="superscript"/>
        <sz val="10"/>
        <rFont val="Arial"/>
        <family val="2"/>
      </rPr>
      <t>2</t>
    </r>
  </si>
  <si>
    <r>
      <rPr>
        <vertAlign val="superscript"/>
        <sz val="10"/>
        <rFont val="Arial"/>
        <family val="2"/>
      </rPr>
      <t>1</t>
    </r>
    <r>
      <rPr>
        <sz val="10"/>
        <rFont val="Arial"/>
        <family val="2"/>
      </rPr>
      <t xml:space="preserve"> Capital replacement is estimated at 1.5% of the total capital cost and includes estimated costs associated with closure of each of the four individual cells comprising the sludge disposal facility (approximately 408,777 cubic yards per cell).  Closure includes grading, three foot of earthen cover, and revegetation costs. Initial capital cost for construction of sludge disposal facility (by RS Means) shown in Year 14.</t>
    </r>
  </si>
  <si>
    <r>
      <rPr>
        <vertAlign val="superscript"/>
        <sz val="10"/>
        <rFont val="Arial"/>
        <family val="2"/>
      </rPr>
      <t>3</t>
    </r>
    <r>
      <rPr>
        <sz val="10"/>
        <rFont val="Arial"/>
        <family val="2"/>
      </rPr>
      <t xml:space="preserve"> Costs based on 2019 RS Means estimate of $5.63 per/cy for excavation, loading, hauling, and placing of salts at the salt disposal facility. </t>
    </r>
  </si>
  <si>
    <r>
      <rPr>
        <vertAlign val="superscript"/>
        <sz val="10"/>
        <rFont val="Arial"/>
        <family val="2"/>
      </rPr>
      <t>2</t>
    </r>
    <r>
      <rPr>
        <sz val="10"/>
        <rFont val="Arial"/>
        <family val="2"/>
      </rPr>
      <t xml:space="preserve"> Routine Maintenance and Operation and Maintanance Labor is included in the Total Operating Cost calculation.  Costs based on 2019 RS Means estimate of $3.03 per/cy for loading, hauling, and placing of sludge at the sludge disposal facility. </t>
    </r>
  </si>
  <si>
    <t>Salt Removal ($/CY)</t>
  </si>
  <si>
    <r>
      <t xml:space="preserve">  9 </t>
    </r>
    <r>
      <rPr>
        <vertAlign val="superscript"/>
        <sz val="10"/>
        <rFont val="Arial"/>
        <family val="2"/>
      </rPr>
      <t>5</t>
    </r>
  </si>
  <si>
    <r>
      <t xml:space="preserve">  12 </t>
    </r>
    <r>
      <rPr>
        <vertAlign val="superscript"/>
        <sz val="10"/>
        <rFont val="Arial"/>
        <family val="2"/>
      </rPr>
      <t>5</t>
    </r>
  </si>
  <si>
    <r>
      <t xml:space="preserve">  13 </t>
    </r>
    <r>
      <rPr>
        <vertAlign val="superscript"/>
        <sz val="10"/>
        <rFont val="Arial"/>
        <family val="2"/>
      </rPr>
      <t>5</t>
    </r>
  </si>
  <si>
    <r>
      <t xml:space="preserve">  14 </t>
    </r>
    <r>
      <rPr>
        <vertAlign val="superscript"/>
        <sz val="10"/>
        <rFont val="Arial"/>
        <family val="2"/>
      </rPr>
      <t>5</t>
    </r>
  </si>
  <si>
    <r>
      <t xml:space="preserve">  11 </t>
    </r>
    <r>
      <rPr>
        <vertAlign val="superscript"/>
        <sz val="10"/>
        <rFont val="Arial"/>
        <family val="2"/>
      </rPr>
      <t>5</t>
    </r>
  </si>
  <si>
    <r>
      <t xml:space="preserve">  10 </t>
    </r>
    <r>
      <rPr>
        <vertAlign val="superscript"/>
        <sz val="10"/>
        <rFont val="Arial"/>
        <family val="2"/>
      </rPr>
      <t>5</t>
    </r>
  </si>
  <si>
    <t>note: existing electrical will be accessible</t>
  </si>
  <si>
    <r>
      <rPr>
        <vertAlign val="superscript"/>
        <sz val="10"/>
        <rFont val="Arial"/>
        <family val="2"/>
      </rPr>
      <t>2</t>
    </r>
    <r>
      <rPr>
        <sz val="10"/>
        <rFont val="Arial"/>
        <family val="2"/>
      </rPr>
      <t xml:space="preserve"> Number of operators reflects covering 16 hours per day and 7 days per week with 2 shifts of 6 operators working 8 hours per day (day shift and evening shift) and 2 shifts of 6 operators working part-time on the weekends for 16 hours total (8 hours per day times two days) and covering the day shift and evening shift.  This results in an equivalent number of full-time operators of 16.8 to cover 16 hours per day and 7 days per week. Rate per operators is from 2019 NM Type "A" Street, Highway, Utility &amp; Light Engineering Prevailing Wages. Operator Group I.   Hours per operator is regular hours to cover 6 operator positions for 16 hours per day (12 operators per day) 7 days per week (56 hrs/week x 7 days/week per operator position) .  It is assumed that a shift of 40 hour per week operators and a shift of weekend 16 hour per week operators can be hired to staff the plant for a 8 hour per day shift and an 8 hour swing shift per day.  This staffing plan assumes part-time operators are available.
https://www.dws.state.nm.us/Portals/0/DM/LaborRelations/Prevailing_Wage_Poster_A_2019_final.pdf  </t>
    </r>
  </si>
  <si>
    <r>
      <rPr>
        <vertAlign val="superscript"/>
        <sz val="10"/>
        <rFont val="Arial"/>
        <family val="2"/>
      </rPr>
      <t>4</t>
    </r>
    <r>
      <rPr>
        <sz val="10"/>
        <rFont val="Arial"/>
        <family val="2"/>
      </rPr>
      <t xml:space="preserve"> Wages from 2019 New Mexico Type "A" Street, Highway, Utility &amp; Light Engineering Prevailing Wages. Operator Group I-X.
https://www.dws.state.nm.us/Portals/0/DM/LaborRelations/Prevailing_Wage_Poster_A_2019_final.pdf</t>
    </r>
  </si>
  <si>
    <r>
      <t>Benefits fringe rate per hour</t>
    </r>
    <r>
      <rPr>
        <vertAlign val="superscript"/>
        <sz val="10"/>
        <color theme="1"/>
        <rFont val="Arial"/>
        <family val="2"/>
      </rPr>
      <t>4</t>
    </r>
  </si>
  <si>
    <t>hr/yr</t>
  </si>
  <si>
    <t>FTE</t>
  </si>
  <si>
    <t>Total eligible hours per year</t>
  </si>
  <si>
    <t>Operator Hours (1 FTE)</t>
  </si>
  <si>
    <t>Supervisor Hours (1 FTE)</t>
  </si>
  <si>
    <t>Total overtime hours for operators</t>
  </si>
  <si>
    <t>Inc. in TTS Labor</t>
  </si>
  <si>
    <t xml:space="preserve">Estimation based on previous experience </t>
  </si>
  <si>
    <t>Unit Cost</t>
  </si>
  <si>
    <t>Quote is for 1 - 32,000 gallon tanks, need 4 for a total reaction time of 120 min</t>
  </si>
  <si>
    <t xml:space="preserve">Subtotal, Replacement O&amp;M, Routine Maintenance, Labor </t>
  </si>
  <si>
    <t xml:space="preserve">Indirect Costs, Replacement O&amp;M, Routine Maintenance, Labor </t>
  </si>
  <si>
    <t>Total area including the thickner which is located outside of the TTS building.</t>
  </si>
  <si>
    <t>REV 0 July 29, 2019</t>
  </si>
  <si>
    <r>
      <rPr>
        <vertAlign val="superscript"/>
        <sz val="10"/>
        <rFont val="Arial"/>
        <family val="2"/>
      </rPr>
      <t>1</t>
    </r>
    <r>
      <rPr>
        <sz val="10"/>
        <rFont val="Arial"/>
        <family val="2"/>
      </rPr>
      <t xml:space="preserve"> Replacement O&amp;M allowance for the Short-Term ETS is estimated at zero given this is a short-term system and capital replacement is not expected.  Routine maintenance is estimated at a percentage of the initial direct capital cost (New Cost in Column H Row 4).   </t>
    </r>
  </si>
  <si>
    <t>Supervisor</t>
  </si>
  <si>
    <r>
      <t>3</t>
    </r>
    <r>
      <rPr>
        <sz val="10"/>
        <rFont val="Arial"/>
        <family val="2"/>
      </rPr>
      <t xml:space="preserve"> O&amp;M Labor for the ETS is included in the TTS Labor.    </t>
    </r>
  </si>
  <si>
    <t>2019 Lhoist Cost (Freight Estimated)</t>
  </si>
  <si>
    <t>2019 Hall Environmental Analysis Laboratory (price unchanged from 2018, quote changed to be valid through 2019)</t>
  </si>
  <si>
    <r>
      <rPr>
        <vertAlign val="superscript"/>
        <sz val="9"/>
        <rFont val="Arial"/>
        <family val="2"/>
      </rPr>
      <t>1</t>
    </r>
    <r>
      <rPr>
        <sz val="9"/>
        <rFont val="Arial"/>
        <family val="2"/>
      </rPr>
      <t xml:space="preserve"> Capital pipeline costs include discharge pipeline from TTS to tributary arroyo to Mangas Wash, energy dissipation structure, and a tank.</t>
    </r>
  </si>
  <si>
    <r>
      <rPr>
        <vertAlign val="superscript"/>
        <sz val="9"/>
        <rFont val="Arial"/>
        <family val="2"/>
      </rPr>
      <t>2</t>
    </r>
    <r>
      <rPr>
        <sz val="9"/>
        <rFont val="Arial"/>
        <family val="2"/>
      </rPr>
      <t xml:space="preserve"> Replacement O&amp;M costs are estimated at 1.8% of the total capital cost for the complete water conveyance system.  A higher percentage of capital cost is estimated given that existing pumps, pipelines, tanks and reservoirs will be utilized initially up until their associated life expectancies are met and will require replacement sooner than if new equipment was utilized initially. </t>
    </r>
  </si>
  <si>
    <r>
      <rPr>
        <vertAlign val="superscript"/>
        <sz val="9"/>
        <rFont val="Arial"/>
        <family val="2"/>
      </rPr>
      <t xml:space="preserve">3 </t>
    </r>
    <r>
      <rPr>
        <sz val="9"/>
        <rFont val="Arial"/>
        <family val="2"/>
      </rPr>
      <t xml:space="preserve">Routine maintenance is estimated at 1.5% of the total capital cost for the complete water conveyance system.  Routine maintenance includes materials needed for preventative maintenance such as mechanical seals, lubricant, valve sleeves, fuses, etc. </t>
    </r>
  </si>
  <si>
    <r>
      <rPr>
        <vertAlign val="superscript"/>
        <sz val="9"/>
        <rFont val="Arial"/>
        <family val="2"/>
      </rPr>
      <t xml:space="preserve">4 </t>
    </r>
    <r>
      <rPr>
        <sz val="9"/>
        <rFont val="Arial"/>
        <family val="2"/>
      </rPr>
      <t>Labor for water conveyance is included in labor for the TTS.  TTS Labor is provided on the TTS Cash Flow sheet.</t>
    </r>
  </si>
  <si>
    <r>
      <rPr>
        <vertAlign val="superscript"/>
        <sz val="9"/>
        <rFont val="Arial"/>
        <family val="2"/>
      </rPr>
      <t xml:space="preserve">5 </t>
    </r>
    <r>
      <rPr>
        <sz val="9"/>
        <rFont val="Arial"/>
        <family val="2"/>
      </rPr>
      <t>The No. 3 PLS Overflow Pond will be closed at the end of Year 9 and a new 20,000 gallon plastic above ground storage tank will be installed in its place to collect low TDS and sulfate concentration waters from the 3A stockpile seepage collection and interceptor systems. There is no replacement O&amp;M or routine maintenance applied to Years 10 through 14.</t>
    </r>
  </si>
  <si>
    <r>
      <rPr>
        <vertAlign val="superscript"/>
        <sz val="9"/>
        <color theme="1"/>
        <rFont val="Arial"/>
        <family val="2"/>
      </rPr>
      <t>(1)</t>
    </r>
    <r>
      <rPr>
        <sz val="9"/>
        <color theme="1"/>
        <rFont val="Arial"/>
        <family val="2"/>
      </rPr>
      <t xml:space="preserve"> - https://www.dws.state.nm.us/Portals/0/DM/LaborRelations/Prevailing_Wage_Poster_A_2019_final.pdf</t>
    </r>
  </si>
  <si>
    <r>
      <rPr>
        <vertAlign val="superscript"/>
        <sz val="9"/>
        <color theme="1"/>
        <rFont val="Arial"/>
        <family val="2"/>
      </rPr>
      <t>(2)</t>
    </r>
    <r>
      <rPr>
        <sz val="9"/>
        <color theme="1"/>
        <rFont val="Arial"/>
        <family val="2"/>
      </rPr>
      <t xml:space="preserve"> - https://www.dws.state.nm.us/Portals/0/DM/LaborRelations/Prevailing_Wage_Poster_H_2019_final.pdf</t>
    </r>
  </si>
  <si>
    <r>
      <t>2019 NM Type "A" Street, Highway, Utility &amp; Light Engineering Prevailing Wages. Operator Group V.</t>
    </r>
    <r>
      <rPr>
        <vertAlign val="superscript"/>
        <sz val="10"/>
        <color theme="1"/>
        <rFont val="Arial"/>
        <family val="2"/>
      </rPr>
      <t xml:space="preserve"> (1)</t>
    </r>
  </si>
  <si>
    <r>
      <t>2019 NM Type "A" Street, Highway, Utility &amp; Light Engineering Prevailing Wages. Operator Group X.</t>
    </r>
    <r>
      <rPr>
        <vertAlign val="superscript"/>
        <sz val="10"/>
        <color theme="1"/>
        <rFont val="Arial"/>
        <family val="2"/>
      </rPr>
      <t xml:space="preserve"> (1)</t>
    </r>
  </si>
  <si>
    <r>
      <t>2019 NM Type "A" Street, Highway, Utility &amp; Light Engineering Prevailing Wages. Applies to operator groups I, X, V under Type A.</t>
    </r>
    <r>
      <rPr>
        <vertAlign val="superscript"/>
        <sz val="10"/>
        <color theme="1"/>
        <rFont val="Arial"/>
        <family val="2"/>
      </rPr>
      <t xml:space="preserve"> (1)</t>
    </r>
  </si>
  <si>
    <r>
      <t>2019 NM Department of Labor Type H (Heavy Engineering) 2019 labor rates.  Rates include base hourly wage, fringe benefit, and apprenticeship contribution rates.</t>
    </r>
    <r>
      <rPr>
        <vertAlign val="superscript"/>
        <sz val="10"/>
        <rFont val="Arial"/>
        <family val="2"/>
      </rPr>
      <t xml:space="preserve"> (2)</t>
    </r>
  </si>
  <si>
    <r>
      <t>2019 NM Department of Labor Type H (Heavy Engineering) 2019 labor rates.  Rates include base hourly wage, fringe benefit, apprenticeship contribution rates, and subsistence rate.</t>
    </r>
    <r>
      <rPr>
        <vertAlign val="superscript"/>
        <sz val="10"/>
        <rFont val="Arial"/>
        <family val="2"/>
      </rPr>
      <t xml:space="preserve"> (2)</t>
    </r>
  </si>
  <si>
    <r>
      <t>2019 NM Department of Labor Type H (Heavy Engineering) 2019 labor rates.  Rates include base hourly wage, fringe benefit, and apprenticeship contribution rates. Includes 26% increase for work outside Zone 1.</t>
    </r>
    <r>
      <rPr>
        <vertAlign val="superscript"/>
        <sz val="10"/>
        <rFont val="Arial"/>
        <family val="2"/>
      </rPr>
      <t xml:space="preserve"> (2)</t>
    </r>
  </si>
  <si>
    <r>
      <t xml:space="preserve">2019 NM Department of Labor Type H (Heavy Engineering) 2019 labor rates.  Rates include base hourly wage, fringe benefit, and apprenticeship contribution rates. </t>
    </r>
    <r>
      <rPr>
        <vertAlign val="superscript"/>
        <sz val="10"/>
        <rFont val="Arial"/>
        <family val="2"/>
      </rPr>
      <t xml:space="preserve"> (2)</t>
    </r>
  </si>
  <si>
    <r>
      <t>2019 NM Type "A" Street, Highway, Utility &amp; Light Engineering Prevailing Wages. Operator Group I.</t>
    </r>
    <r>
      <rPr>
        <vertAlign val="superscript"/>
        <sz val="10"/>
        <color theme="1"/>
        <rFont val="Arial"/>
        <family val="2"/>
      </rPr>
      <t xml:space="preserve"> (1)</t>
    </r>
  </si>
  <si>
    <t>2019 Subsistence, Zone and Incentive Pay Rates, per diem only required for Electrician (Outside classification) and Plumber/Pipefitters for the construction labor  classes used for TTS construction.  Operating labor is assumed to be local</t>
  </si>
  <si>
    <r>
      <rPr>
        <sz val="9"/>
        <color rgb="FF000000"/>
        <rFont val="Arial"/>
        <family val="2"/>
      </rPr>
      <t xml:space="preserve">Sampling is not required as part of the O&amp;M of the short-term ETS.  The only sampling required during the short-term ETS operational period is associated with the NPDES compliance points (two associated with NPDES Permit </t>
    </r>
    <r>
      <rPr>
        <sz val="9"/>
        <rFont val="Arial"/>
        <family val="2"/>
      </rPr>
      <t>NMR05GB76</t>
    </r>
    <r>
      <rPr>
        <sz val="9"/>
        <color rgb="FF000000"/>
        <rFont val="Arial"/>
        <family val="2"/>
      </rPr>
      <t>).</t>
    </r>
  </si>
  <si>
    <t>Collection points for the low TDS and sulfate non-process water streams to the TTS  (1X1 Pond, 1A PLS Tank, 1B PLS Tank, Oak Grove Pond, and New No. 3 AST): quarterly from Year 15 through Year 32 (transition period between uncovered and covered flows), and annual thereafter (through Year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</si>
</sst>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quot;$&quot;#,##0"/>
    <numFmt numFmtId="167" formatCode="&quot;$&quot;#,##0.00"/>
    <numFmt numFmtId="168" formatCode="#,##0.0"/>
    <numFmt numFmtId="169" formatCode="#,##0.0000"/>
    <numFmt numFmtId="170" formatCode="0.0%"/>
    <numFmt numFmtId="171" formatCode="0.0"/>
    <numFmt numFmtId="172" formatCode="_(* #,##0_);_(* \(#,##0\);_(* &quot;-&quot;??_);_(@_)"/>
    <numFmt numFmtId="173" formatCode="_(* #,##0.000_);_(* \(#,##0.000\);_(* &quot;-&quot;??_);_(@_)"/>
    <numFmt numFmtId="174" formatCode="#,##0.000"/>
    <numFmt numFmtId="175" formatCode="0.000"/>
    <numFmt numFmtId="176" formatCode="0.0000"/>
    <numFmt numFmtId="177" formatCode="_(&quot;$&quot;* #,##0.000_);_(&quot;$&quot;* \(#,##0.000\);_(&quot;$&quot;* &quot;-&quot;??_);_(@_)"/>
    <numFmt numFmtId="178" formatCode="_(&quot;$&quot;* #,##0_);_(&quot;$&quot;* \(#,##0\);_(&quot;$&quot;* &quot;-&quot;?_);_(@_)"/>
    <numFmt numFmtId="179" formatCode="_(* #,##0.0_);_(* \(#,##0.0\);_(* &quot;-&quot;??_);_(@_)"/>
    <numFmt numFmtId="180" formatCode="_(&quot;$&quot;* #,##0.000_);_(&quot;$&quot;* \(#,##0.000\);_(&quot;$&quot;* &quot;-&quot;_);_(@_)"/>
  </numFmts>
  <fonts count="78"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1"/>
      <color theme="0"/>
      <name val="Arial"/>
      <family val="2"/>
    </font>
    <font>
      <sz val="11"/>
      <color indexed="8"/>
      <name val="Arial"/>
      <family val="2"/>
    </font>
    <font>
      <sz val="11"/>
      <name val="Arial"/>
      <family val="2"/>
    </font>
    <font>
      <b/>
      <sz val="11"/>
      <color indexed="8"/>
      <name val="Arial"/>
      <family val="2"/>
    </font>
    <font>
      <b/>
      <sz val="11"/>
      <name val="Arial"/>
      <family val="2"/>
    </font>
    <font>
      <b/>
      <sz val="14"/>
      <name val="Arial"/>
      <family val="2"/>
    </font>
    <font>
      <sz val="9"/>
      <name val="Arial"/>
      <family val="2"/>
    </font>
    <font>
      <sz val="11"/>
      <color theme="1"/>
      <name val="Arial"/>
      <family val="2"/>
    </font>
    <font>
      <sz val="10"/>
      <color theme="1"/>
      <name val="Arial"/>
      <family val="2"/>
    </font>
    <font>
      <b/>
      <sz val="12"/>
      <color rgb="FF008091"/>
      <name val="Arial"/>
      <family val="2"/>
    </font>
    <font>
      <i/>
      <sz val="11"/>
      <color theme="1"/>
      <name val="Arial"/>
      <family val="2"/>
    </font>
    <font>
      <sz val="11"/>
      <color rgb="FFFF0000"/>
      <name val="Calibri"/>
      <family val="2"/>
      <scheme val="minor"/>
    </font>
    <font>
      <b/>
      <sz val="11"/>
      <color theme="1"/>
      <name val="Arial"/>
      <family val="2"/>
    </font>
    <font>
      <b/>
      <sz val="11"/>
      <color rgb="FF008091"/>
      <name val="Arial"/>
      <family val="2"/>
    </font>
    <font>
      <sz val="11"/>
      <color rgb="FF7030A0"/>
      <name val="Arial"/>
      <family val="2"/>
    </font>
    <font>
      <vertAlign val="superscript"/>
      <sz val="11"/>
      <color theme="1"/>
      <name val="Arial"/>
      <family val="2"/>
    </font>
    <font>
      <b/>
      <vertAlign val="superscript"/>
      <sz val="11"/>
      <color theme="1"/>
      <name val="Arial"/>
      <family val="2"/>
    </font>
    <font>
      <sz val="9"/>
      <color theme="1"/>
      <name val="Arial"/>
      <family val="2"/>
    </font>
    <font>
      <vertAlign val="superscript"/>
      <sz val="11"/>
      <name val="Arial"/>
      <family val="2"/>
    </font>
    <font>
      <sz val="8"/>
      <name val="Arial"/>
      <family val="2"/>
    </font>
    <font>
      <i/>
      <sz val="11"/>
      <name val="Arial"/>
      <family val="2"/>
    </font>
    <font>
      <vertAlign val="subscript"/>
      <sz val="11"/>
      <color theme="1"/>
      <name val="Arial"/>
      <family val="2"/>
    </font>
    <font>
      <i/>
      <sz val="10"/>
      <name val="Arial"/>
      <family val="2"/>
    </font>
    <font>
      <sz val="10"/>
      <name val="MS Sans Serif"/>
    </font>
    <font>
      <b/>
      <sz val="10"/>
      <color rgb="FFFF0000"/>
      <name val="Arial"/>
      <family val="2"/>
    </font>
    <font>
      <b/>
      <sz val="10"/>
      <color theme="1"/>
      <name val="Arial"/>
      <family val="2"/>
    </font>
    <font>
      <sz val="10"/>
      <color rgb="FFFF0000"/>
      <name val="Arial"/>
      <family val="2"/>
    </font>
    <font>
      <vertAlign val="superscript"/>
      <sz val="10"/>
      <name val="Arial"/>
      <family val="2"/>
    </font>
    <font>
      <vertAlign val="superscript"/>
      <sz val="10"/>
      <color theme="1"/>
      <name val="Arial"/>
      <family val="2"/>
    </font>
    <font>
      <sz val="11"/>
      <color rgb="FFFF0000"/>
      <name val="Arial"/>
      <family val="2"/>
    </font>
    <font>
      <i/>
      <sz val="10"/>
      <color theme="1"/>
      <name val="Arial"/>
      <family val="2"/>
    </font>
    <font>
      <b/>
      <vertAlign val="superscript"/>
      <sz val="10"/>
      <color rgb="FF008091"/>
      <name val="Arial"/>
      <family val="2"/>
    </font>
    <font>
      <i/>
      <sz val="11"/>
      <color indexed="8"/>
      <name val="Arial"/>
      <family val="2"/>
    </font>
    <font>
      <sz val="11"/>
      <color rgb="FF006100"/>
      <name val="Calibri"/>
      <family val="2"/>
      <scheme val="minor"/>
    </font>
    <font>
      <sz val="11"/>
      <color rgb="FF006100"/>
      <name val="Arial"/>
      <family val="2"/>
    </font>
    <font>
      <b/>
      <sz val="10"/>
      <color theme="0"/>
      <name val="Arial"/>
      <family val="2"/>
    </font>
    <font>
      <b/>
      <vertAlign val="superscript"/>
      <sz val="10"/>
      <color theme="0"/>
      <name val="Arial"/>
      <family val="2"/>
    </font>
    <font>
      <sz val="10"/>
      <color rgb="FFC00000"/>
      <name val="Arial"/>
      <family val="2"/>
    </font>
    <font>
      <b/>
      <sz val="12"/>
      <color rgb="FF00B050"/>
      <name val="Arial"/>
      <family val="2"/>
    </font>
    <font>
      <b/>
      <sz val="11"/>
      <color rgb="FF00B050"/>
      <name val="Arial"/>
      <family val="2"/>
    </font>
    <font>
      <i/>
      <sz val="10"/>
      <color theme="0"/>
      <name val="Arial"/>
      <family val="2"/>
    </font>
    <font>
      <b/>
      <i/>
      <sz val="10"/>
      <color theme="0"/>
      <name val="Arial"/>
      <family val="2"/>
    </font>
    <font>
      <b/>
      <i/>
      <sz val="10"/>
      <color theme="1"/>
      <name val="Arial"/>
      <family val="2"/>
    </font>
    <font>
      <b/>
      <sz val="18"/>
      <name val="Arial"/>
      <family val="2"/>
    </font>
    <font>
      <b/>
      <sz val="18"/>
      <color theme="1"/>
      <name val="Arial"/>
      <family val="2"/>
    </font>
    <font>
      <b/>
      <sz val="14"/>
      <color theme="0"/>
      <name val="Arial"/>
      <family val="2"/>
    </font>
    <font>
      <sz val="9"/>
      <color indexed="81"/>
      <name val="Tahoma"/>
      <family val="2"/>
    </font>
    <font>
      <b/>
      <sz val="9"/>
      <color indexed="81"/>
      <name val="Tahoma"/>
      <family val="2"/>
    </font>
    <font>
      <u/>
      <sz val="11"/>
      <color theme="10"/>
      <name val="Calibri"/>
      <family val="2"/>
      <scheme val="minor"/>
    </font>
    <font>
      <vertAlign val="superscript"/>
      <sz val="11"/>
      <color rgb="FF000000"/>
      <name val="Arial"/>
      <family val="2"/>
    </font>
    <font>
      <b/>
      <vertAlign val="subscript"/>
      <sz val="11"/>
      <color theme="1"/>
      <name val="Arial"/>
      <family val="2"/>
    </font>
    <font>
      <sz val="8"/>
      <color theme="1"/>
      <name val="Arial"/>
      <family val="2"/>
    </font>
    <font>
      <b/>
      <sz val="9"/>
      <color theme="1"/>
      <name val="Arial"/>
      <family val="2"/>
    </font>
    <font>
      <sz val="11"/>
      <color theme="1"/>
      <name val="Arial"/>
      <family val="2"/>
    </font>
    <font>
      <b/>
      <sz val="11"/>
      <name val="Calibri"/>
      <family val="2"/>
      <scheme val="minor"/>
    </font>
    <font>
      <b/>
      <vertAlign val="superscript"/>
      <sz val="11"/>
      <name val="Calibri"/>
      <family val="2"/>
      <scheme val="minor"/>
    </font>
    <font>
      <b/>
      <sz val="11"/>
      <color rgb="FFFF0000"/>
      <name val="Calibri"/>
      <family val="2"/>
      <scheme val="minor"/>
    </font>
    <font>
      <b/>
      <sz val="11"/>
      <color rgb="FF00B0F0"/>
      <name val="Calibri"/>
      <family val="2"/>
      <scheme val="minor"/>
    </font>
    <font>
      <b/>
      <sz val="9"/>
      <name val="Arial"/>
      <family val="2"/>
    </font>
    <font>
      <b/>
      <sz val="8"/>
      <name val="Arial"/>
      <family val="2"/>
    </font>
    <font>
      <b/>
      <vertAlign val="superscript"/>
      <sz val="10"/>
      <name val="Arial"/>
      <family val="2"/>
    </font>
    <font>
      <sz val="11"/>
      <color theme="0"/>
      <name val="Arial"/>
      <family val="2"/>
    </font>
    <font>
      <sz val="10"/>
      <name val="Arial"/>
      <family val="2"/>
    </font>
    <font>
      <b/>
      <sz val="8"/>
      <name val="Arial"/>
      <family val="2"/>
    </font>
    <font>
      <sz val="8"/>
      <name val="Arial"/>
      <family val="2"/>
    </font>
    <font>
      <sz val="10"/>
      <name val="Arial"/>
      <family val="2"/>
    </font>
    <font>
      <vertAlign val="superscript"/>
      <sz val="9"/>
      <name val="Arial"/>
      <family val="2"/>
    </font>
    <font>
      <vertAlign val="superscript"/>
      <sz val="9"/>
      <color theme="1"/>
      <name val="Arial"/>
      <family val="2"/>
    </font>
    <font>
      <sz val="9"/>
      <color rgb="FF6EAD3B"/>
      <name val="Arial"/>
      <family val="2"/>
    </font>
    <font>
      <sz val="9"/>
      <color rgb="FF000000"/>
      <name val="Arial"/>
      <family val="2"/>
    </font>
  </fonts>
  <fills count="12">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rgb="FFC6EFCE"/>
      </patternFill>
    </fill>
    <fill>
      <patternFill patternType="solid">
        <fgColor theme="1"/>
        <bgColor indexed="64"/>
      </patternFill>
    </fill>
    <fill>
      <patternFill patternType="solid">
        <fgColor rgb="FF095540"/>
        <bgColor indexed="64"/>
      </patternFill>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medium">
        <color rgb="FF00755C"/>
      </left>
      <right/>
      <top/>
      <bottom/>
      <diagonal/>
    </border>
    <border>
      <left style="medium">
        <color rgb="FF00755C"/>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s>
  <cellStyleXfs count="16">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0" fontId="16" fillId="0" borderId="0"/>
    <xf numFmtId="0" fontId="6" fillId="0" borderId="0"/>
    <xf numFmtId="44" fontId="6" fillId="0" borderId="0" applyFont="0" applyFill="0" applyBorder="0" applyAlignment="0" applyProtection="0"/>
    <xf numFmtId="0" fontId="6" fillId="0" borderId="0"/>
    <xf numFmtId="43" fontId="3" fillId="0" borderId="0" applyFont="0" applyFill="0" applyBorder="0" applyAlignment="0" applyProtection="0"/>
    <xf numFmtId="9" fontId="6" fillId="0" borderId="0" applyFont="0" applyFill="0" applyBorder="0" applyAlignment="0" applyProtection="0"/>
    <xf numFmtId="0" fontId="31" fillId="0" borderId="0"/>
    <xf numFmtId="44" fontId="31" fillId="0" borderId="0" applyFont="0" applyFill="0" applyBorder="0" applyAlignment="0" applyProtection="0"/>
    <xf numFmtId="0" fontId="3" fillId="0" borderId="0"/>
    <xf numFmtId="0" fontId="41" fillId="8" borderId="0" applyNumberFormat="0" applyBorder="0" applyAlignment="0" applyProtection="0"/>
    <xf numFmtId="0" fontId="56" fillId="0" borderId="0" applyNumberFormat="0" applyFill="0" applyBorder="0" applyAlignment="0" applyProtection="0"/>
  </cellStyleXfs>
  <cellXfs count="771">
    <xf numFmtId="0" fontId="0" fillId="0" borderId="0" xfId="0"/>
    <xf numFmtId="0" fontId="5" fillId="0" borderId="0" xfId="0" applyFont="1"/>
    <xf numFmtId="0" fontId="5" fillId="0" borderId="0" xfId="0" applyFont="1" applyAlignment="1">
      <alignment horizontal="center"/>
    </xf>
    <xf numFmtId="0" fontId="6" fillId="0" borderId="0" xfId="3" applyFont="1"/>
    <xf numFmtId="164" fontId="6" fillId="0" borderId="0" xfId="0" applyNumberFormat="1" applyFont="1"/>
    <xf numFmtId="0" fontId="7" fillId="0" borderId="0" xfId="0" applyFont="1" applyAlignment="1">
      <alignment horizontal="right"/>
    </xf>
    <xf numFmtId="0" fontId="6" fillId="0" borderId="0" xfId="0" applyFont="1" applyAlignment="1">
      <alignment horizontal="left"/>
    </xf>
    <xf numFmtId="0" fontId="6" fillId="0" borderId="0" xfId="0" applyFont="1"/>
    <xf numFmtId="0" fontId="6" fillId="0" borderId="0" xfId="0" applyFont="1" applyAlignment="1">
      <alignment wrapText="1"/>
    </xf>
    <xf numFmtId="0" fontId="8" fillId="2" borderId="1" xfId="0" applyFont="1" applyFill="1" applyBorder="1"/>
    <xf numFmtId="165" fontId="8" fillId="2" borderId="1" xfId="1" applyNumberFormat="1" applyFont="1" applyFill="1" applyBorder="1" applyAlignment="1">
      <alignment horizontal="center"/>
    </xf>
    <xf numFmtId="0" fontId="9" fillId="0" borderId="1" xfId="0" applyFont="1" applyBorder="1"/>
    <xf numFmtId="165" fontId="10" fillId="0" borderId="1" xfId="1" applyNumberFormat="1" applyFont="1" applyBorder="1" applyAlignment="1">
      <alignment horizontal="center"/>
    </xf>
    <xf numFmtId="0" fontId="9" fillId="5" borderId="1" xfId="0" applyFont="1" applyFill="1" applyBorder="1"/>
    <xf numFmtId="165" fontId="10" fillId="5" borderId="1" xfId="1" applyNumberFormat="1" applyFont="1" applyFill="1" applyBorder="1"/>
    <xf numFmtId="165" fontId="12" fillId="5" borderId="1" xfId="1" applyNumberFormat="1" applyFont="1" applyFill="1" applyBorder="1"/>
    <xf numFmtId="0" fontId="12" fillId="5" borderId="1" xfId="0" applyFont="1" applyFill="1" applyBorder="1"/>
    <xf numFmtId="165" fontId="8" fillId="2" borderId="1" xfId="1" applyNumberFormat="1" applyFont="1" applyFill="1" applyBorder="1"/>
    <xf numFmtId="3" fontId="6" fillId="0" borderId="1" xfId="0" applyNumberFormat="1" applyFont="1" applyBorder="1" applyAlignment="1">
      <alignment horizontal="center"/>
    </xf>
    <xf numFmtId="0" fontId="0" fillId="0" borderId="0" xfId="0" applyAlignment="1">
      <alignment horizontal="center"/>
    </xf>
    <xf numFmtId="0" fontId="13" fillId="0" borderId="0" xfId="3" applyFont="1" applyAlignment="1">
      <alignment horizontal="right"/>
    </xf>
    <xf numFmtId="0" fontId="15" fillId="0" borderId="0" xfId="3" applyFont="1"/>
    <xf numFmtId="0" fontId="6" fillId="0" borderId="0" xfId="0" applyFont="1" applyAlignment="1">
      <alignment horizontal="center"/>
    </xf>
    <xf numFmtId="0" fontId="7" fillId="0" borderId="0" xfId="3" applyFont="1"/>
    <xf numFmtId="0" fontId="20" fillId="0" borderId="0" xfId="4" applyFont="1"/>
    <xf numFmtId="0" fontId="20" fillId="0" borderId="0" xfId="3" applyFont="1" applyAlignment="1">
      <alignment horizontal="center"/>
    </xf>
    <xf numFmtId="3" fontId="20" fillId="0" borderId="0" xfId="3" applyNumberFormat="1" applyFont="1"/>
    <xf numFmtId="0" fontId="20" fillId="0" borderId="0" xfId="3" applyFont="1"/>
    <xf numFmtId="0" fontId="17" fillId="0" borderId="0" xfId="4" applyFont="1"/>
    <xf numFmtId="0" fontId="18" fillId="0" borderId="0" xfId="4" applyFont="1"/>
    <xf numFmtId="0" fontId="18" fillId="0" borderId="0" xfId="3" applyFont="1" applyAlignment="1">
      <alignment horizontal="center"/>
    </xf>
    <xf numFmtId="3" fontId="18" fillId="0" borderId="0" xfId="3" applyNumberFormat="1" applyFont="1"/>
    <xf numFmtId="0" fontId="18" fillId="0" borderId="0" xfId="3" applyFont="1"/>
    <xf numFmtId="0" fontId="17" fillId="0" borderId="0" xfId="8" applyFont="1"/>
    <xf numFmtId="0" fontId="21" fillId="0" borderId="0" xfId="8" applyFont="1"/>
    <xf numFmtId="0" fontId="10" fillId="0" borderId="0" xfId="8" applyFont="1"/>
    <xf numFmtId="0" fontId="10" fillId="0" borderId="0" xfId="8" applyFont="1" applyAlignment="1">
      <alignment horizontal="center"/>
    </xf>
    <xf numFmtId="1" fontId="10" fillId="0" borderId="11" xfId="8" applyNumberFormat="1" applyFont="1" applyBorder="1"/>
    <xf numFmtId="0" fontId="10" fillId="0" borderId="11" xfId="8" applyFont="1" applyBorder="1"/>
    <xf numFmtId="1" fontId="22" fillId="0" borderId="11" xfId="8" applyNumberFormat="1" applyFont="1" applyBorder="1"/>
    <xf numFmtId="0" fontId="6" fillId="0" borderId="0" xfId="8"/>
    <xf numFmtId="3" fontId="20" fillId="0" borderId="0" xfId="8" applyNumberFormat="1" applyFont="1"/>
    <xf numFmtId="0" fontId="20" fillId="0" borderId="0" xfId="8" applyFont="1"/>
    <xf numFmtId="0" fontId="10" fillId="0" borderId="0" xfId="3" applyFont="1" applyAlignment="1">
      <alignment horizontal="center"/>
    </xf>
    <xf numFmtId="12" fontId="25" fillId="0" borderId="0" xfId="3" applyNumberFormat="1" applyFont="1" applyAlignment="1">
      <alignment horizontal="left" vertical="top"/>
    </xf>
    <xf numFmtId="1" fontId="20" fillId="0" borderId="0" xfId="3" applyNumberFormat="1" applyFont="1"/>
    <xf numFmtId="3" fontId="10" fillId="0" borderId="11" xfId="8" applyNumberFormat="1" applyFont="1" applyBorder="1"/>
    <xf numFmtId="4" fontId="10" fillId="0" borderId="11" xfId="8" applyNumberFormat="1" applyFont="1" applyBorder="1"/>
    <xf numFmtId="0" fontId="27" fillId="0" borderId="0" xfId="8" applyFont="1" applyAlignment="1">
      <alignment horizontal="left" vertical="top"/>
    </xf>
    <xf numFmtId="3" fontId="10" fillId="0" borderId="0" xfId="8" applyNumberFormat="1" applyFont="1"/>
    <xf numFmtId="12" fontId="25" fillId="0" borderId="0" xfId="8" applyNumberFormat="1" applyFont="1" applyAlignment="1">
      <alignment horizontal="left" vertical="top"/>
    </xf>
    <xf numFmtId="1" fontId="20" fillId="0" borderId="0" xfId="8" applyNumberFormat="1" applyFont="1"/>
    <xf numFmtId="9" fontId="10" fillId="0" borderId="0" xfId="2" applyFont="1"/>
    <xf numFmtId="0" fontId="28" fillId="0" borderId="0" xfId="8" applyFont="1"/>
    <xf numFmtId="0" fontId="30" fillId="0" borderId="0" xfId="8" applyFont="1"/>
    <xf numFmtId="169" fontId="20" fillId="0" borderId="0" xfId="8" applyNumberFormat="1" applyFont="1"/>
    <xf numFmtId="172" fontId="10" fillId="0" borderId="11" xfId="9" applyNumberFormat="1" applyFont="1" applyBorder="1"/>
    <xf numFmtId="173" fontId="10" fillId="0" borderId="11" xfId="9" applyNumberFormat="1" applyFont="1" applyBorder="1"/>
    <xf numFmtId="1" fontId="10" fillId="0" borderId="0" xfId="8" applyNumberFormat="1" applyFont="1"/>
    <xf numFmtId="9" fontId="10" fillId="0" borderId="0" xfId="8" applyNumberFormat="1" applyFont="1"/>
    <xf numFmtId="171" fontId="10" fillId="0" borderId="0" xfId="8" applyNumberFormat="1" applyFont="1"/>
    <xf numFmtId="0" fontId="18" fillId="0" borderId="0" xfId="8" applyFont="1"/>
    <xf numFmtId="0" fontId="10" fillId="0" borderId="0" xfId="8" applyFont="1" applyAlignment="1">
      <alignment horizontal="left" vertical="top"/>
    </xf>
    <xf numFmtId="0" fontId="10" fillId="0" borderId="0" xfId="8" applyFont="1" applyAlignment="1">
      <alignment horizontal="center" vertical="top"/>
    </xf>
    <xf numFmtId="3" fontId="12" fillId="0" borderId="0" xfId="8" applyNumberFormat="1" applyFont="1"/>
    <xf numFmtId="0" fontId="12" fillId="0" borderId="0" xfId="8" applyFont="1"/>
    <xf numFmtId="0" fontId="21" fillId="0" borderId="0" xfId="4" applyFont="1"/>
    <xf numFmtId="172" fontId="20" fillId="0" borderId="0" xfId="9" applyNumberFormat="1" applyFont="1" applyAlignment="1">
      <alignment horizontal="center" vertical="center"/>
    </xf>
    <xf numFmtId="0" fontId="20" fillId="0" borderId="0" xfId="4" applyFont="1" applyAlignment="1">
      <alignment horizontal="center"/>
    </xf>
    <xf numFmtId="0" fontId="20" fillId="6" borderId="0" xfId="4" applyFont="1" applyFill="1" applyAlignment="1">
      <alignment horizontal="center"/>
    </xf>
    <xf numFmtId="2" fontId="20" fillId="0" borderId="0" xfId="4" applyNumberFormat="1" applyFont="1" applyAlignment="1">
      <alignment horizontal="center"/>
    </xf>
    <xf numFmtId="1" fontId="20" fillId="6" borderId="0" xfId="9" applyNumberFormat="1" applyFont="1" applyFill="1" applyAlignment="1">
      <alignment horizontal="center" vertical="center"/>
    </xf>
    <xf numFmtId="4" fontId="20" fillId="0" borderId="0" xfId="3" applyNumberFormat="1" applyFont="1"/>
    <xf numFmtId="2" fontId="20" fillId="0" borderId="0" xfId="9" applyNumberFormat="1" applyFont="1" applyAlignment="1">
      <alignment horizontal="center" vertical="center"/>
    </xf>
    <xf numFmtId="3" fontId="20" fillId="0" borderId="0" xfId="9" applyNumberFormat="1" applyFont="1" applyAlignment="1">
      <alignment horizontal="center" vertical="center"/>
    </xf>
    <xf numFmtId="1" fontId="20" fillId="0" borderId="0" xfId="4" applyNumberFormat="1" applyFont="1" applyAlignment="1">
      <alignment horizontal="center"/>
    </xf>
    <xf numFmtId="2" fontId="20" fillId="6" borderId="0" xfId="9" applyNumberFormat="1" applyFont="1" applyFill="1" applyAlignment="1">
      <alignment horizontal="center" vertical="center"/>
    </xf>
    <xf numFmtId="3" fontId="20" fillId="6" borderId="0" xfId="3" applyNumberFormat="1" applyFont="1" applyFill="1"/>
    <xf numFmtId="0" fontId="20" fillId="6" borderId="0" xfId="3" applyFont="1" applyFill="1"/>
    <xf numFmtId="0" fontId="32" fillId="0" borderId="0" xfId="3" applyFont="1"/>
    <xf numFmtId="0" fontId="16" fillId="0" borderId="0" xfId="3" applyFont="1" applyAlignment="1">
      <alignment vertical="center"/>
    </xf>
    <xf numFmtId="0" fontId="16" fillId="0" borderId="0" xfId="3" applyFont="1" applyAlignment="1">
      <alignment horizontal="center" vertical="center"/>
    </xf>
    <xf numFmtId="0" fontId="16" fillId="0" borderId="0" xfId="3" applyFont="1" applyAlignment="1">
      <alignment horizontal="left" vertical="center"/>
    </xf>
    <xf numFmtId="0" fontId="16" fillId="0" borderId="0" xfId="3" applyFont="1" applyAlignment="1">
      <alignment horizontal="right" vertical="center"/>
    </xf>
    <xf numFmtId="165" fontId="16" fillId="0" borderId="0" xfId="3" applyNumberFormat="1" applyFont="1" applyAlignment="1">
      <alignment horizontal="right"/>
    </xf>
    <xf numFmtId="0" fontId="16" fillId="0" borderId="0" xfId="3" applyFont="1"/>
    <xf numFmtId="14" fontId="16" fillId="0" borderId="0" xfId="3" applyNumberFormat="1" applyFont="1"/>
    <xf numFmtId="0" fontId="16" fillId="0" borderId="0" xfId="3" applyFont="1" applyAlignment="1">
      <alignment horizontal="right"/>
    </xf>
    <xf numFmtId="0" fontId="16" fillId="4" borderId="0" xfId="3" applyFont="1" applyFill="1"/>
    <xf numFmtId="166" fontId="6" fillId="0" borderId="1" xfId="0" applyNumberFormat="1" applyFont="1" applyBorder="1" applyAlignment="1">
      <alignment horizontal="center"/>
    </xf>
    <xf numFmtId="0" fontId="10" fillId="0" borderId="0" xfId="0" applyFont="1"/>
    <xf numFmtId="0" fontId="16" fillId="0" borderId="0" xfId="0" applyFont="1"/>
    <xf numFmtId="0" fontId="16" fillId="0" borderId="0" xfId="0" applyFont="1" applyAlignment="1">
      <alignment horizontal="left"/>
    </xf>
    <xf numFmtId="0" fontId="16" fillId="0" borderId="0" xfId="0" applyFont="1" applyAlignment="1">
      <alignment horizontal="center"/>
    </xf>
    <xf numFmtId="166" fontId="7" fillId="0" borderId="0" xfId="0" applyNumberFormat="1" applyFont="1" applyAlignment="1">
      <alignment horizontal="center"/>
    </xf>
    <xf numFmtId="0" fontId="16" fillId="0" borderId="0" xfId="8" applyFont="1"/>
    <xf numFmtId="166" fontId="6" fillId="0" borderId="13" xfId="0" applyNumberFormat="1" applyFont="1" applyBorder="1" applyAlignment="1">
      <alignment horizontal="center" vertical="center" wrapText="1"/>
    </xf>
    <xf numFmtId="170" fontId="10" fillId="0" borderId="0" xfId="0" applyNumberFormat="1" applyFont="1"/>
    <xf numFmtId="1" fontId="16" fillId="0" borderId="2" xfId="1" applyNumberFormat="1" applyFont="1" applyBorder="1"/>
    <xf numFmtId="44" fontId="16" fillId="0" borderId="2" xfId="1" applyFont="1" applyBorder="1"/>
    <xf numFmtId="3" fontId="38" fillId="0" borderId="2" xfId="1" applyNumberFormat="1" applyFont="1" applyBorder="1"/>
    <xf numFmtId="0" fontId="7" fillId="4" borderId="0" xfId="6" applyFont="1" applyFill="1"/>
    <xf numFmtId="166" fontId="6" fillId="4" borderId="0" xfId="6" applyNumberFormat="1" applyFill="1"/>
    <xf numFmtId="0" fontId="6" fillId="4" borderId="0" xfId="6" applyFill="1"/>
    <xf numFmtId="44" fontId="16" fillId="0" borderId="0" xfId="0" applyNumberFormat="1" applyFont="1"/>
    <xf numFmtId="0" fontId="7" fillId="0" borderId="0" xfId="3" applyFont="1" applyAlignment="1">
      <alignment horizontal="right"/>
    </xf>
    <xf numFmtId="0" fontId="16" fillId="0" borderId="1" xfId="0" applyFont="1" applyBorder="1"/>
    <xf numFmtId="3" fontId="16" fillId="0" borderId="1" xfId="0" applyNumberFormat="1" applyFont="1" applyBorder="1"/>
    <xf numFmtId="42" fontId="16" fillId="0" borderId="1" xfId="0" applyNumberFormat="1" applyFont="1" applyBorder="1"/>
    <xf numFmtId="165" fontId="16" fillId="0" borderId="1" xfId="0" applyNumberFormat="1" applyFont="1" applyBorder="1"/>
    <xf numFmtId="0" fontId="33" fillId="0" borderId="0" xfId="0" applyFont="1"/>
    <xf numFmtId="165" fontId="33" fillId="0" borderId="0" xfId="0" applyNumberFormat="1" applyFont="1"/>
    <xf numFmtId="0" fontId="6" fillId="0" borderId="0" xfId="6"/>
    <xf numFmtId="0" fontId="6" fillId="4" borderId="1" xfId="6" applyFill="1" applyBorder="1"/>
    <xf numFmtId="165" fontId="6" fillId="0" borderId="1" xfId="7" applyNumberFormat="1" applyBorder="1"/>
    <xf numFmtId="165" fontId="6" fillId="0" borderId="1" xfId="6" applyNumberFormat="1" applyBorder="1"/>
    <xf numFmtId="0" fontId="7" fillId="4" borderId="1" xfId="6" applyFont="1" applyFill="1" applyBorder="1"/>
    <xf numFmtId="165" fontId="7" fillId="0" borderId="1" xfId="7" applyNumberFormat="1" applyFont="1" applyBorder="1"/>
    <xf numFmtId="164" fontId="6" fillId="0" borderId="0" xfId="0" quotePrefix="1" applyNumberFormat="1" applyFont="1" applyAlignment="1">
      <alignment horizontal="left"/>
    </xf>
    <xf numFmtId="166" fontId="10" fillId="0" borderId="0" xfId="0" applyNumberFormat="1" applyFont="1"/>
    <xf numFmtId="3" fontId="6" fillId="4" borderId="0" xfId="6" applyNumberFormat="1" applyFill="1" applyAlignment="1">
      <alignment horizontal="center"/>
    </xf>
    <xf numFmtId="0" fontId="6" fillId="4" borderId="0" xfId="7" applyNumberFormat="1" applyFill="1" applyAlignment="1">
      <alignment horizontal="center"/>
    </xf>
    <xf numFmtId="0" fontId="16" fillId="0" borderId="0" xfId="4" applyFont="1" applyAlignment="1">
      <alignment horizontal="center"/>
    </xf>
    <xf numFmtId="44" fontId="16" fillId="0" borderId="0" xfId="1" applyFont="1"/>
    <xf numFmtId="0" fontId="6" fillId="4" borderId="11" xfId="6" applyFill="1" applyBorder="1"/>
    <xf numFmtId="0" fontId="6" fillId="4" borderId="0" xfId="6" applyFill="1" applyAlignment="1">
      <alignment horizontal="center"/>
    </xf>
    <xf numFmtId="167" fontId="7" fillId="4" borderId="0" xfId="6" applyNumberFormat="1" applyFont="1" applyFill="1"/>
    <xf numFmtId="0" fontId="35" fillId="0" borderId="4" xfId="6" applyFont="1" applyBorder="1" applyAlignment="1">
      <alignment horizontal="left" wrapText="1"/>
    </xf>
    <xf numFmtId="0" fontId="6" fillId="0" borderId="1" xfId="6" applyBorder="1" applyAlignment="1">
      <alignment horizontal="left"/>
    </xf>
    <xf numFmtId="42" fontId="6" fillId="0" borderId="1" xfId="6" applyNumberFormat="1" applyBorder="1" applyAlignment="1">
      <alignment horizontal="left"/>
    </xf>
    <xf numFmtId="0" fontId="6" fillId="0" borderId="7" xfId="0" applyFont="1" applyBorder="1"/>
    <xf numFmtId="0" fontId="6" fillId="0" borderId="8" xfId="0" applyFont="1" applyBorder="1"/>
    <xf numFmtId="0" fontId="6" fillId="0" borderId="9" xfId="0" applyFont="1" applyBorder="1"/>
    <xf numFmtId="3" fontId="6" fillId="0" borderId="13" xfId="0" applyNumberFormat="1" applyFont="1" applyBorder="1" applyAlignment="1">
      <alignment horizontal="center"/>
    </xf>
    <xf numFmtId="0" fontId="6" fillId="0" borderId="8" xfId="0" applyFont="1" applyBorder="1" applyAlignment="1">
      <alignment horizontal="center"/>
    </xf>
    <xf numFmtId="165" fontId="6" fillId="0" borderId="13" xfId="7" applyNumberFormat="1" applyBorder="1" applyAlignment="1" applyProtection="1">
      <alignment horizontal="right"/>
      <protection locked="0"/>
    </xf>
    <xf numFmtId="42" fontId="6" fillId="0" borderId="9" xfId="7" applyNumberFormat="1" applyBorder="1" applyAlignment="1">
      <alignment horizontal="center"/>
    </xf>
    <xf numFmtId="0" fontId="6" fillId="0" borderId="5" xfId="0" applyFont="1" applyBorder="1"/>
    <xf numFmtId="0" fontId="35" fillId="0" borderId="0" xfId="0" applyFont="1"/>
    <xf numFmtId="0" fontId="6" fillId="0" borderId="6" xfId="0" applyFont="1" applyBorder="1"/>
    <xf numFmtId="3" fontId="6" fillId="0" borderId="15" xfId="0" applyNumberFormat="1" applyFont="1" applyBorder="1" applyAlignment="1">
      <alignment horizontal="center"/>
    </xf>
    <xf numFmtId="166" fontId="6" fillId="0" borderId="15" xfId="0" applyNumberFormat="1" applyFont="1" applyBorder="1" applyAlignment="1">
      <alignment horizontal="right"/>
    </xf>
    <xf numFmtId="42" fontId="6" fillId="0" borderId="6" xfId="7" applyNumberFormat="1" applyBorder="1" applyAlignment="1">
      <alignment horizontal="center"/>
    </xf>
    <xf numFmtId="0" fontId="6" fillId="0" borderId="10" xfId="0" applyFont="1" applyBorder="1"/>
    <xf numFmtId="167" fontId="6" fillId="0" borderId="14" xfId="0" applyNumberFormat="1" applyFont="1" applyBorder="1" applyAlignment="1">
      <alignment horizontal="right"/>
    </xf>
    <xf numFmtId="0" fontId="6" fillId="0" borderId="11" xfId="0" applyFont="1" applyBorder="1"/>
    <xf numFmtId="0" fontId="6" fillId="0" borderId="12" xfId="0" applyFont="1" applyBorder="1"/>
    <xf numFmtId="3" fontId="6" fillId="0" borderId="14" xfId="0" applyNumberFormat="1" applyFont="1" applyBorder="1" applyAlignment="1">
      <alignment horizontal="center"/>
    </xf>
    <xf numFmtId="0" fontId="6" fillId="0" borderId="11" xfId="0" applyFont="1" applyBorder="1" applyAlignment="1">
      <alignment horizontal="center"/>
    </xf>
    <xf numFmtId="42" fontId="6" fillId="0" borderId="12" xfId="7" applyNumberFormat="1" applyBorder="1" applyAlignment="1">
      <alignment horizontal="center"/>
    </xf>
    <xf numFmtId="165" fontId="6" fillId="0" borderId="15" xfId="7" applyNumberFormat="1" applyBorder="1" applyAlignment="1" applyProtection="1">
      <alignment horizontal="right"/>
      <protection locked="0"/>
    </xf>
    <xf numFmtId="0" fontId="6" fillId="0" borderId="14" xfId="0" applyFont="1" applyBorder="1" applyAlignment="1">
      <alignment horizontal="center"/>
    </xf>
    <xf numFmtId="0" fontId="6" fillId="0" borderId="2" xfId="0" applyFont="1" applyBorder="1"/>
    <xf numFmtId="0" fontId="35" fillId="4" borderId="4" xfId="6" applyFont="1" applyFill="1" applyBorder="1" applyAlignment="1">
      <alignment horizontal="left" wrapText="1"/>
    </xf>
    <xf numFmtId="0" fontId="6" fillId="0" borderId="3" xfId="0" applyFont="1" applyBorder="1"/>
    <xf numFmtId="0" fontId="6" fillId="0" borderId="3" xfId="0" applyFont="1" applyBorder="1" applyAlignment="1">
      <alignment horizontal="center"/>
    </xf>
    <xf numFmtId="166" fontId="6" fillId="0" borderId="1" xfId="0" applyNumberFormat="1" applyFont="1" applyBorder="1" applyAlignment="1">
      <alignment horizontal="right"/>
    </xf>
    <xf numFmtId="42" fontId="6" fillId="0" borderId="4" xfId="7" applyNumberFormat="1" applyBorder="1" applyAlignment="1">
      <alignment horizontal="center"/>
    </xf>
    <xf numFmtId="0" fontId="6" fillId="0" borderId="16" xfId="0" applyFont="1" applyBorder="1"/>
    <xf numFmtId="42" fontId="7" fillId="5" borderId="1" xfId="7" applyNumberFormat="1" applyFont="1" applyFill="1" applyBorder="1" applyAlignment="1">
      <alignment horizontal="center"/>
    </xf>
    <xf numFmtId="0" fontId="35" fillId="0" borderId="4" xfId="0" applyFont="1" applyBorder="1"/>
    <xf numFmtId="0" fontId="6" fillId="0" borderId="1" xfId="0" applyFont="1" applyBorder="1"/>
    <xf numFmtId="168" fontId="6" fillId="0" borderId="1" xfId="0" applyNumberFormat="1" applyFont="1" applyBorder="1" applyAlignment="1">
      <alignment horizontal="center"/>
    </xf>
    <xf numFmtId="42" fontId="6" fillId="0" borderId="1" xfId="7" applyNumberFormat="1" applyBorder="1" applyAlignment="1">
      <alignment horizontal="center"/>
    </xf>
    <xf numFmtId="0" fontId="35" fillId="0" borderId="9" xfId="0" applyFont="1" applyBorder="1"/>
    <xf numFmtId="0" fontId="6" fillId="0" borderId="15" xfId="0" applyFont="1" applyBorder="1"/>
    <xf numFmtId="167" fontId="6" fillId="0" borderId="15" xfId="0" applyNumberFormat="1" applyFont="1" applyBorder="1" applyAlignment="1">
      <alignment horizontal="center"/>
    </xf>
    <xf numFmtId="42" fontId="6" fillId="0" borderId="15" xfId="7" applyNumberFormat="1" applyBorder="1" applyAlignment="1">
      <alignment horizontal="center"/>
    </xf>
    <xf numFmtId="166" fontId="6" fillId="0" borderId="15" xfId="0" applyNumberFormat="1" applyFont="1" applyBorder="1" applyAlignment="1">
      <alignment horizontal="center"/>
    </xf>
    <xf numFmtId="0" fontId="6" fillId="0" borderId="1" xfId="0" applyFont="1" applyBorder="1" applyAlignment="1">
      <alignment horizontal="center"/>
    </xf>
    <xf numFmtId="0" fontId="6" fillId="0" borderId="4" xfId="0" applyFont="1" applyBorder="1"/>
    <xf numFmtId="42" fontId="7" fillId="0" borderId="0" xfId="7" applyNumberFormat="1" applyFont="1" applyAlignment="1">
      <alignment horizontal="center"/>
    </xf>
    <xf numFmtId="167" fontId="6" fillId="4" borderId="0" xfId="6" applyNumberFormat="1" applyFill="1" applyAlignment="1">
      <alignment horizontal="center"/>
    </xf>
    <xf numFmtId="42" fontId="6" fillId="4" borderId="0" xfId="7" applyNumberFormat="1" applyFill="1" applyAlignment="1">
      <alignment horizontal="center"/>
    </xf>
    <xf numFmtId="165" fontId="7" fillId="0" borderId="1" xfId="6" applyNumberFormat="1" applyFont="1" applyBorder="1"/>
    <xf numFmtId="0" fontId="40" fillId="0" borderId="1" xfId="0" applyFont="1" applyBorder="1"/>
    <xf numFmtId="165" fontId="28" fillId="0" borderId="1" xfId="1" applyNumberFormat="1" applyFont="1" applyBorder="1"/>
    <xf numFmtId="0" fontId="34" fillId="0" borderId="0" xfId="0" applyFont="1"/>
    <xf numFmtId="165" fontId="6" fillId="0" borderId="1" xfId="7" applyNumberFormat="1" applyBorder="1" applyAlignment="1">
      <alignment horizontal="center" wrapText="1"/>
    </xf>
    <xf numFmtId="165" fontId="6" fillId="0" borderId="0" xfId="7" applyNumberFormat="1" applyAlignment="1">
      <alignment horizontal="left"/>
    </xf>
    <xf numFmtId="165" fontId="6" fillId="0" borderId="19" xfId="7" applyNumberFormat="1" applyBorder="1" applyAlignment="1">
      <alignment horizontal="center" wrapText="1"/>
    </xf>
    <xf numFmtId="165" fontId="6" fillId="0" borderId="20" xfId="7" applyNumberFormat="1" applyBorder="1" applyAlignment="1">
      <alignment horizontal="center" wrapText="1"/>
    </xf>
    <xf numFmtId="0" fontId="6" fillId="4" borderId="21" xfId="6" applyFill="1" applyBorder="1"/>
    <xf numFmtId="0" fontId="6" fillId="0" borderId="21" xfId="6" applyBorder="1"/>
    <xf numFmtId="165" fontId="6" fillId="0" borderId="19" xfId="7" applyNumberFormat="1" applyBorder="1"/>
    <xf numFmtId="165" fontId="6" fillId="0" borderId="20" xfId="7" applyNumberFormat="1" applyBorder="1"/>
    <xf numFmtId="165" fontId="6" fillId="0" borderId="20" xfId="6" applyNumberFormat="1" applyBorder="1"/>
    <xf numFmtId="9" fontId="16" fillId="0" borderId="0" xfId="0" applyNumberFormat="1" applyFont="1"/>
    <xf numFmtId="0" fontId="6" fillId="4" borderId="26" xfId="6" applyFill="1" applyBorder="1"/>
    <xf numFmtId="0" fontId="33" fillId="0" borderId="0" xfId="0" applyFont="1" applyAlignment="1">
      <alignment horizontal="right"/>
    </xf>
    <xf numFmtId="0" fontId="16" fillId="0" borderId="0" xfId="0" applyFont="1" applyAlignment="1">
      <alignment horizontal="right"/>
    </xf>
    <xf numFmtId="165" fontId="6" fillId="0" borderId="3" xfId="6" applyNumberFormat="1" applyBorder="1"/>
    <xf numFmtId="166" fontId="6" fillId="0" borderId="0" xfId="0" applyNumberFormat="1" applyFont="1"/>
    <xf numFmtId="165" fontId="7" fillId="0" borderId="28" xfId="6" applyNumberFormat="1" applyFont="1" applyBorder="1"/>
    <xf numFmtId="165" fontId="6" fillId="0" borderId="28" xfId="7" applyNumberFormat="1" applyBorder="1"/>
    <xf numFmtId="0" fontId="7" fillId="9" borderId="29" xfId="6" applyFont="1" applyFill="1" applyBorder="1" applyAlignment="1">
      <alignment horizontal="center" wrapText="1"/>
    </xf>
    <xf numFmtId="44" fontId="7" fillId="9" borderId="11" xfId="7" applyFont="1" applyFill="1" applyBorder="1" applyAlignment="1">
      <alignment horizontal="center" wrapText="1"/>
    </xf>
    <xf numFmtId="165" fontId="6" fillId="9" borderId="3" xfId="6" applyNumberFormat="1" applyFill="1" applyBorder="1"/>
    <xf numFmtId="165" fontId="7" fillId="9" borderId="29" xfId="7" applyNumberFormat="1" applyFont="1" applyFill="1" applyBorder="1"/>
    <xf numFmtId="165" fontId="6" fillId="0" borderId="27" xfId="6" applyNumberFormat="1" applyBorder="1"/>
    <xf numFmtId="165" fontId="6" fillId="0" borderId="28" xfId="6" applyNumberFormat="1" applyBorder="1"/>
    <xf numFmtId="0" fontId="7" fillId="0" borderId="11" xfId="0" applyFont="1" applyBorder="1" applyAlignment="1">
      <alignment wrapText="1"/>
    </xf>
    <xf numFmtId="44" fontId="43" fillId="2" borderId="12" xfId="7" applyFont="1" applyFill="1" applyBorder="1" applyAlignment="1">
      <alignment horizontal="center" wrapText="1"/>
    </xf>
    <xf numFmtId="44" fontId="43" fillId="2" borderId="14" xfId="7" applyFont="1" applyFill="1" applyBorder="1" applyAlignment="1">
      <alignment horizontal="center" wrapText="1"/>
    </xf>
    <xf numFmtId="44" fontId="43" fillId="2" borderId="22" xfId="7" applyFont="1" applyFill="1" applyBorder="1" applyAlignment="1">
      <alignment horizontal="center" wrapText="1"/>
    </xf>
    <xf numFmtId="44" fontId="43" fillId="2" borderId="35" xfId="7" applyFont="1" applyFill="1" applyBorder="1" applyAlignment="1">
      <alignment horizontal="center" wrapText="1"/>
    </xf>
    <xf numFmtId="44" fontId="43" fillId="2" borderId="34" xfId="7" applyFont="1" applyFill="1" applyBorder="1" applyAlignment="1">
      <alignment horizontal="center" wrapText="1"/>
    </xf>
    <xf numFmtId="44" fontId="43" fillId="2" borderId="33" xfId="7" applyFont="1" applyFill="1" applyBorder="1" applyAlignment="1">
      <alignment horizontal="center" wrapText="1"/>
    </xf>
    <xf numFmtId="44" fontId="43" fillId="2" borderId="32" xfId="7" applyFont="1" applyFill="1" applyBorder="1" applyAlignment="1">
      <alignment horizontal="center" wrapText="1"/>
    </xf>
    <xf numFmtId="165" fontId="6" fillId="0" borderId="4" xfId="7" applyNumberFormat="1" applyBorder="1" applyAlignment="1">
      <alignment horizontal="center" wrapText="1"/>
    </xf>
    <xf numFmtId="0" fontId="43" fillId="2" borderId="18" xfId="6" applyFont="1" applyFill="1" applyBorder="1"/>
    <xf numFmtId="165" fontId="43" fillId="2" borderId="36" xfId="7" applyNumberFormat="1" applyFont="1" applyFill="1" applyBorder="1" applyAlignment="1">
      <alignment horizontal="center" wrapText="1"/>
    </xf>
    <xf numFmtId="165" fontId="43" fillId="2" borderId="24" xfId="7" applyNumberFormat="1" applyFont="1" applyFill="1" applyBorder="1" applyAlignment="1">
      <alignment horizontal="center" wrapText="1"/>
    </xf>
    <xf numFmtId="165" fontId="43" fillId="2" borderId="25" xfId="7" applyNumberFormat="1" applyFont="1" applyFill="1" applyBorder="1" applyAlignment="1">
      <alignment horizontal="center" wrapText="1"/>
    </xf>
    <xf numFmtId="165" fontId="43" fillId="2" borderId="23" xfId="7" applyNumberFormat="1" applyFont="1" applyFill="1" applyBorder="1" applyAlignment="1">
      <alignment horizontal="center" wrapText="1"/>
    </xf>
    <xf numFmtId="165" fontId="43" fillId="2" borderId="25" xfId="7" applyNumberFormat="1" applyFont="1" applyFill="1" applyBorder="1"/>
    <xf numFmtId="165" fontId="43" fillId="2" borderId="23" xfId="7" applyNumberFormat="1" applyFont="1" applyFill="1" applyBorder="1"/>
    <xf numFmtId="165" fontId="43" fillId="2" borderId="30" xfId="7" applyNumberFormat="1" applyFont="1" applyFill="1" applyBorder="1"/>
    <xf numFmtId="165" fontId="43" fillId="2" borderId="31" xfId="7" applyNumberFormat="1" applyFont="1" applyFill="1" applyBorder="1"/>
    <xf numFmtId="165" fontId="43" fillId="2" borderId="31" xfId="6" applyNumberFormat="1" applyFont="1" applyFill="1" applyBorder="1"/>
    <xf numFmtId="0" fontId="43" fillId="2" borderId="1" xfId="0" applyFont="1" applyFill="1" applyBorder="1" applyAlignment="1">
      <alignment horizontal="right"/>
    </xf>
    <xf numFmtId="170" fontId="41" fillId="8" borderId="1" xfId="14" applyNumberFormat="1" applyBorder="1" applyAlignment="1">
      <alignment horizontal="right"/>
    </xf>
    <xf numFmtId="3" fontId="43" fillId="2" borderId="1" xfId="0" applyNumberFormat="1" applyFont="1" applyFill="1" applyBorder="1" applyAlignment="1">
      <alignment horizontal="center" wrapText="1"/>
    </xf>
    <xf numFmtId="166" fontId="43" fillId="2" borderId="1" xfId="0" applyNumberFormat="1" applyFont="1" applyFill="1" applyBorder="1" applyAlignment="1">
      <alignment horizontal="left" wrapText="1"/>
    </xf>
    <xf numFmtId="166" fontId="43" fillId="2" borderId="2" xfId="0" applyNumberFormat="1" applyFont="1" applyFill="1" applyBorder="1" applyAlignment="1">
      <alignment horizontal="left" wrapText="1"/>
    </xf>
    <xf numFmtId="0" fontId="43" fillId="2" borderId="2" xfId="6" applyFont="1" applyFill="1" applyBorder="1" applyAlignment="1">
      <alignment horizontal="left"/>
    </xf>
    <xf numFmtId="3" fontId="43" fillId="2" borderId="1" xfId="6" applyNumberFormat="1" applyFont="1" applyFill="1" applyBorder="1" applyAlignment="1">
      <alignment horizontal="left"/>
    </xf>
    <xf numFmtId="167" fontId="43" fillId="2" borderId="1" xfId="6" applyNumberFormat="1" applyFont="1" applyFill="1" applyBorder="1" applyAlignment="1">
      <alignment horizontal="left"/>
    </xf>
    <xf numFmtId="42" fontId="43" fillId="2" borderId="1" xfId="7" applyNumberFormat="1" applyFont="1" applyFill="1" applyBorder="1" applyAlignment="1">
      <alignment horizontal="left"/>
    </xf>
    <xf numFmtId="165" fontId="43" fillId="2" borderId="1" xfId="7" applyNumberFormat="1" applyFont="1" applyFill="1" applyBorder="1" applyAlignment="1">
      <alignment horizontal="left"/>
    </xf>
    <xf numFmtId="42" fontId="43" fillId="2" borderId="1" xfId="7" applyNumberFormat="1" applyFont="1" applyFill="1" applyBorder="1" applyAlignment="1">
      <alignment horizontal="center"/>
    </xf>
    <xf numFmtId="0" fontId="45" fillId="4" borderId="0" xfId="6" applyFont="1" applyFill="1"/>
    <xf numFmtId="165" fontId="43" fillId="2" borderId="1" xfId="7" applyNumberFormat="1" applyFont="1" applyFill="1" applyBorder="1" applyAlignment="1">
      <alignment horizontal="center"/>
    </xf>
    <xf numFmtId="169" fontId="43" fillId="2" borderId="1" xfId="6" applyNumberFormat="1" applyFont="1" applyFill="1" applyBorder="1" applyAlignment="1">
      <alignment horizontal="center"/>
    </xf>
    <xf numFmtId="165" fontId="43" fillId="2" borderId="1" xfId="7" applyNumberFormat="1" applyFont="1" applyFill="1" applyBorder="1" applyAlignment="1">
      <alignment horizontal="center" wrapText="1"/>
    </xf>
    <xf numFmtId="0" fontId="37" fillId="0" borderId="0" xfId="3" applyFont="1"/>
    <xf numFmtId="0" fontId="16" fillId="3" borderId="1" xfId="3" applyFont="1" applyFill="1" applyBorder="1" applyAlignment="1">
      <alignment horizontal="left" vertical="center" wrapText="1"/>
    </xf>
    <xf numFmtId="0" fontId="16" fillId="3" borderId="1" xfId="3" applyFont="1" applyFill="1" applyBorder="1" applyAlignment="1">
      <alignment horizontal="center" vertical="center" wrapText="1"/>
    </xf>
    <xf numFmtId="0" fontId="16" fillId="3" borderId="1" xfId="3" applyFont="1" applyFill="1" applyBorder="1" applyAlignment="1">
      <alignment horizontal="right" vertical="center" wrapText="1"/>
    </xf>
    <xf numFmtId="165" fontId="16" fillId="3" borderId="1" xfId="7" applyNumberFormat="1" applyFont="1" applyFill="1" applyBorder="1" applyAlignment="1">
      <alignment horizontal="right" vertical="center" wrapText="1"/>
    </xf>
    <xf numFmtId="0" fontId="16" fillId="0" borderId="1" xfId="3" applyFont="1" applyBorder="1" applyAlignment="1">
      <alignment horizontal="left" vertical="center" wrapText="1"/>
    </xf>
    <xf numFmtId="0" fontId="16" fillId="0" borderId="1" xfId="3" applyFont="1" applyBorder="1" applyAlignment="1">
      <alignment horizontal="center" vertical="center" wrapText="1"/>
    </xf>
    <xf numFmtId="0" fontId="16" fillId="0" borderId="1" xfId="3" applyFont="1" applyBorder="1" applyAlignment="1">
      <alignment horizontal="right" vertical="center" wrapText="1"/>
    </xf>
    <xf numFmtId="165" fontId="16" fillId="0" borderId="1" xfId="7" applyNumberFormat="1" applyFont="1" applyBorder="1" applyAlignment="1">
      <alignment horizontal="right" vertical="center" wrapText="1"/>
    </xf>
    <xf numFmtId="0" fontId="16" fillId="0" borderId="1" xfId="3" applyFont="1" applyBorder="1" applyAlignment="1">
      <alignment horizontal="left" wrapText="1"/>
    </xf>
    <xf numFmtId="0" fontId="16" fillId="0" borderId="1" xfId="3" applyFont="1" applyBorder="1" applyAlignment="1">
      <alignment horizontal="center" vertical="center"/>
    </xf>
    <xf numFmtId="1" fontId="16" fillId="0" borderId="1" xfId="3" applyNumberFormat="1" applyFont="1" applyBorder="1" applyAlignment="1">
      <alignment horizontal="center" vertical="center" wrapText="1"/>
    </xf>
    <xf numFmtId="0" fontId="16" fillId="4" borderId="1" xfId="3" applyFont="1" applyFill="1" applyBorder="1" applyAlignment="1">
      <alignment horizontal="left" wrapText="1"/>
    </xf>
    <xf numFmtId="0" fontId="16" fillId="4" borderId="1" xfId="3" applyFont="1" applyFill="1" applyBorder="1" applyAlignment="1">
      <alignment horizontal="left" vertical="center" wrapText="1"/>
    </xf>
    <xf numFmtId="0" fontId="16" fillId="4" borderId="1" xfId="3" applyFont="1" applyFill="1" applyBorder="1" applyAlignment="1">
      <alignment horizontal="center" vertical="center"/>
    </xf>
    <xf numFmtId="1" fontId="16" fillId="4" borderId="1" xfId="3" applyNumberFormat="1" applyFont="1" applyFill="1" applyBorder="1" applyAlignment="1">
      <alignment horizontal="center" vertical="center" wrapText="1"/>
    </xf>
    <xf numFmtId="0" fontId="16" fillId="4" borderId="1" xfId="3" applyFont="1" applyFill="1" applyBorder="1" applyAlignment="1">
      <alignment horizontal="right" vertical="center" wrapText="1"/>
    </xf>
    <xf numFmtId="165" fontId="16" fillId="4" borderId="1" xfId="7" applyNumberFormat="1" applyFont="1" applyFill="1" applyBorder="1" applyAlignment="1">
      <alignment horizontal="right" vertical="center" wrapText="1"/>
    </xf>
    <xf numFmtId="0" fontId="6" fillId="0" borderId="1" xfId="3" applyFont="1" applyBorder="1" applyAlignment="1">
      <alignment horizontal="left" vertical="center" wrapText="1"/>
    </xf>
    <xf numFmtId="0" fontId="33" fillId="0" borderId="1" xfId="3" applyFont="1" applyBorder="1" applyAlignment="1">
      <alignment horizontal="left" wrapText="1"/>
    </xf>
    <xf numFmtId="0" fontId="33" fillId="0" borderId="1" xfId="3" applyFont="1" applyBorder="1" applyAlignment="1">
      <alignment horizontal="left" vertical="center"/>
    </xf>
    <xf numFmtId="0" fontId="16" fillId="3" borderId="1" xfId="3" applyFont="1" applyFill="1" applyBorder="1" applyAlignment="1">
      <alignment wrapText="1"/>
    </xf>
    <xf numFmtId="0" fontId="14" fillId="7" borderId="1" xfId="4" applyFont="1" applyFill="1" applyBorder="1"/>
    <xf numFmtId="3" fontId="14" fillId="7" borderId="1" xfId="4" applyNumberFormat="1" applyFont="1" applyFill="1" applyBorder="1"/>
    <xf numFmtId="42" fontId="14" fillId="4" borderId="1" xfId="6" applyNumberFormat="1" applyFont="1" applyFill="1" applyBorder="1" applyAlignment="1">
      <alignment horizontal="left"/>
    </xf>
    <xf numFmtId="165" fontId="14" fillId="7" borderId="1" xfId="7" applyNumberFormat="1" applyFont="1" applyFill="1" applyBorder="1"/>
    <xf numFmtId="0" fontId="16" fillId="0" borderId="0" xfId="1" applyNumberFormat="1" applyFont="1"/>
    <xf numFmtId="0" fontId="16" fillId="0" borderId="0" xfId="3" applyFont="1" applyAlignment="1">
      <alignment wrapText="1"/>
    </xf>
    <xf numFmtId="176" fontId="16" fillId="0" borderId="0" xfId="1" applyNumberFormat="1" applyFont="1"/>
    <xf numFmtId="0" fontId="48" fillId="2" borderId="1" xfId="0" applyFont="1" applyFill="1" applyBorder="1" applyAlignment="1">
      <alignment horizontal="left" wrapText="1"/>
    </xf>
    <xf numFmtId="0" fontId="4" fillId="0" borderId="0" xfId="0" applyFont="1"/>
    <xf numFmtId="165" fontId="4" fillId="0" borderId="0" xfId="1" applyNumberFormat="1" applyFont="1"/>
    <xf numFmtId="165" fontId="4" fillId="0" borderId="0" xfId="0" applyNumberFormat="1" applyFont="1"/>
    <xf numFmtId="0" fontId="19" fillId="0" borderId="0" xfId="0" applyFont="1" applyAlignment="1">
      <alignment horizontal="right"/>
    </xf>
    <xf numFmtId="165" fontId="8" fillId="2" borderId="1" xfId="1" applyNumberFormat="1" applyFont="1" applyFill="1" applyBorder="1" applyAlignment="1">
      <alignment horizontal="right" wrapText="1"/>
    </xf>
    <xf numFmtId="0" fontId="19" fillId="0" borderId="0" xfId="0" applyFont="1" applyAlignment="1">
      <alignment horizontal="center"/>
    </xf>
    <xf numFmtId="0" fontId="19" fillId="0" borderId="0" xfId="0" applyFont="1" applyAlignment="1">
      <alignment horizontal="left" vertical="center"/>
    </xf>
    <xf numFmtId="9" fontId="16" fillId="0" borderId="0" xfId="2" applyFont="1"/>
    <xf numFmtId="170" fontId="16" fillId="0" borderId="0" xfId="2" applyNumberFormat="1" applyFont="1"/>
    <xf numFmtId="0" fontId="13" fillId="0" borderId="0" xfId="3" applyFont="1"/>
    <xf numFmtId="0" fontId="7" fillId="0" borderId="0" xfId="3" applyFont="1" applyAlignment="1">
      <alignment horizontal="left"/>
    </xf>
    <xf numFmtId="0" fontId="7" fillId="0" borderId="0" xfId="3" applyFont="1" applyAlignment="1">
      <alignment wrapText="1"/>
    </xf>
    <xf numFmtId="0" fontId="6" fillId="0" borderId="0" xfId="3" applyFont="1" applyAlignment="1">
      <alignment wrapText="1"/>
    </xf>
    <xf numFmtId="0" fontId="6" fillId="0" borderId="0" xfId="3" applyFont="1" applyAlignment="1">
      <alignment horizontal="right"/>
    </xf>
    <xf numFmtId="0" fontId="6" fillId="0" borderId="0" xfId="11" applyFont="1"/>
    <xf numFmtId="2" fontId="6" fillId="0" borderId="0" xfId="11" applyNumberFormat="1" applyFont="1" applyAlignment="1">
      <alignment horizontal="right"/>
    </xf>
    <xf numFmtId="44" fontId="6" fillId="0" borderId="0" xfId="12" applyFont="1" applyAlignment="1">
      <alignment horizontal="right"/>
    </xf>
    <xf numFmtId="2" fontId="6" fillId="0" borderId="0" xfId="13" applyNumberFormat="1" applyFont="1"/>
    <xf numFmtId="0" fontId="6" fillId="0" borderId="0" xfId="13" applyFont="1"/>
    <xf numFmtId="0" fontId="33" fillId="0" borderId="0" xfId="3" applyFont="1" applyAlignment="1">
      <alignment wrapText="1"/>
    </xf>
    <xf numFmtId="0" fontId="33" fillId="5" borderId="1" xfId="3" applyFont="1" applyFill="1" applyBorder="1" applyAlignment="1">
      <alignment wrapText="1"/>
    </xf>
    <xf numFmtId="0" fontId="14" fillId="5" borderId="1" xfId="4" applyFont="1" applyFill="1" applyBorder="1"/>
    <xf numFmtId="3" fontId="14" fillId="5" borderId="1" xfId="4" applyNumberFormat="1" applyFont="1" applyFill="1" applyBorder="1"/>
    <xf numFmtId="42" fontId="14" fillId="5" borderId="1" xfId="6" applyNumberFormat="1" applyFont="1" applyFill="1" applyBorder="1" applyAlignment="1">
      <alignment horizontal="left"/>
    </xf>
    <xf numFmtId="165" fontId="14" fillId="5" borderId="1" xfId="7" applyNumberFormat="1" applyFont="1" applyFill="1" applyBorder="1"/>
    <xf numFmtId="165" fontId="14" fillId="5" borderId="1" xfId="7" applyNumberFormat="1" applyFont="1" applyFill="1" applyBorder="1" applyAlignment="1">
      <alignment wrapText="1"/>
    </xf>
    <xf numFmtId="0" fontId="16" fillId="5" borderId="1" xfId="3" applyFont="1" applyFill="1" applyBorder="1" applyAlignment="1">
      <alignment wrapText="1"/>
    </xf>
    <xf numFmtId="1" fontId="16" fillId="0" borderId="1" xfId="0" applyNumberFormat="1" applyFont="1" applyBorder="1"/>
    <xf numFmtId="171" fontId="16" fillId="0" borderId="1" xfId="0" applyNumberFormat="1" applyFont="1" applyBorder="1"/>
    <xf numFmtId="0" fontId="43" fillId="2" borderId="0" xfId="0" applyFont="1" applyFill="1"/>
    <xf numFmtId="3" fontId="43" fillId="2" borderId="0" xfId="0" applyNumberFormat="1" applyFont="1" applyFill="1"/>
    <xf numFmtId="1" fontId="33" fillId="0" borderId="0" xfId="0" applyNumberFormat="1" applyFont="1"/>
    <xf numFmtId="3" fontId="16" fillId="0" borderId="0" xfId="0" applyNumberFormat="1" applyFont="1"/>
    <xf numFmtId="1" fontId="16" fillId="0" borderId="0" xfId="0" applyNumberFormat="1" applyFont="1"/>
    <xf numFmtId="171" fontId="16" fillId="0" borderId="0" xfId="0" applyNumberFormat="1" applyFont="1"/>
    <xf numFmtId="0" fontId="38" fillId="0" borderId="0" xfId="0" applyFont="1"/>
    <xf numFmtId="2" fontId="16" fillId="0" borderId="0" xfId="0" applyNumberFormat="1" applyFont="1"/>
    <xf numFmtId="3" fontId="16" fillId="0" borderId="2" xfId="0" applyNumberFormat="1" applyFont="1" applyBorder="1"/>
    <xf numFmtId="0" fontId="43" fillId="2" borderId="1" xfId="0" applyFont="1" applyFill="1" applyBorder="1" applyAlignment="1">
      <alignment wrapText="1"/>
    </xf>
    <xf numFmtId="3" fontId="6" fillId="0" borderId="1" xfId="7" applyNumberFormat="1" applyBorder="1"/>
    <xf numFmtId="3" fontId="6" fillId="4" borderId="1" xfId="7" applyNumberFormat="1" applyFill="1" applyBorder="1"/>
    <xf numFmtId="2" fontId="16" fillId="0" borderId="1" xfId="0" applyNumberFormat="1" applyFont="1" applyBorder="1"/>
    <xf numFmtId="3" fontId="12" fillId="0" borderId="0" xfId="3" applyNumberFormat="1" applyFont="1"/>
    <xf numFmtId="0" fontId="12" fillId="0" borderId="0" xfId="3" applyFont="1"/>
    <xf numFmtId="3" fontId="10" fillId="0" borderId="0" xfId="3" applyNumberFormat="1" applyFont="1"/>
    <xf numFmtId="0" fontId="10" fillId="0" borderId="0" xfId="3" applyFont="1"/>
    <xf numFmtId="3" fontId="10" fillId="0" borderId="10" xfId="3" applyNumberFormat="1" applyFont="1" applyBorder="1"/>
    <xf numFmtId="0" fontId="10" fillId="0" borderId="11" xfId="3" applyFont="1" applyBorder="1"/>
    <xf numFmtId="0" fontId="10" fillId="0" borderId="12" xfId="3" applyFont="1" applyBorder="1"/>
    <xf numFmtId="3" fontId="10" fillId="0" borderId="5" xfId="3" applyNumberFormat="1" applyFont="1" applyBorder="1"/>
    <xf numFmtId="0" fontId="10" fillId="0" borderId="6" xfId="3" applyFont="1" applyBorder="1" applyAlignment="1">
      <alignment horizontal="right"/>
    </xf>
    <xf numFmtId="1" fontId="12" fillId="0" borderId="0" xfId="3" applyNumberFormat="1" applyFont="1"/>
    <xf numFmtId="0" fontId="19" fillId="0" borderId="0" xfId="0" applyFont="1" applyAlignment="1">
      <alignment horizontal="left"/>
    </xf>
    <xf numFmtId="0" fontId="14" fillId="0" borderId="0" xfId="0" applyFont="1" applyAlignment="1">
      <alignment horizontal="left"/>
    </xf>
    <xf numFmtId="164" fontId="6" fillId="0" borderId="0" xfId="0" applyNumberFormat="1" applyFont="1" applyAlignment="1">
      <alignment horizontal="center"/>
    </xf>
    <xf numFmtId="165" fontId="16" fillId="0" borderId="0" xfId="0" applyNumberFormat="1" applyFont="1"/>
    <xf numFmtId="165" fontId="56" fillId="0" borderId="0" xfId="15" applyNumberFormat="1"/>
    <xf numFmtId="0" fontId="6" fillId="0" borderId="2" xfId="6" applyBorder="1" applyAlignment="1">
      <alignment horizontal="left" wrapText="1"/>
    </xf>
    <xf numFmtId="0" fontId="43" fillId="2" borderId="2" xfId="0" applyFont="1" applyFill="1" applyBorder="1" applyAlignment="1">
      <alignment horizontal="left" wrapText="1"/>
    </xf>
    <xf numFmtId="165" fontId="6" fillId="4" borderId="4" xfId="7" applyNumberFormat="1" applyFill="1" applyBorder="1" applyAlignment="1">
      <alignment horizontal="center" wrapText="1"/>
    </xf>
    <xf numFmtId="165" fontId="6" fillId="0" borderId="1" xfId="0" applyNumberFormat="1" applyFont="1" applyBorder="1" applyAlignment="1">
      <alignment horizontal="center"/>
    </xf>
    <xf numFmtId="3" fontId="5" fillId="0" borderId="1" xfId="0" applyNumberFormat="1" applyFont="1" applyBorder="1" applyAlignment="1">
      <alignment horizontal="right"/>
    </xf>
    <xf numFmtId="3" fontId="43" fillId="2" borderId="1" xfId="0" applyNumberFormat="1" applyFont="1" applyFill="1" applyBorder="1" applyAlignment="1">
      <alignment horizontal="right" wrapText="1"/>
    </xf>
    <xf numFmtId="44" fontId="7" fillId="0" borderId="1" xfId="0" applyNumberFormat="1" applyFont="1" applyBorder="1" applyAlignment="1">
      <alignment horizontal="center"/>
    </xf>
    <xf numFmtId="165" fontId="7" fillId="0" borderId="1" xfId="0" applyNumberFormat="1" applyFont="1" applyBorder="1" applyAlignment="1">
      <alignment horizontal="center"/>
    </xf>
    <xf numFmtId="1" fontId="5" fillId="0" borderId="1" xfId="1" applyNumberFormat="1" applyFont="1" applyBorder="1" applyAlignment="1">
      <alignment horizontal="right"/>
    </xf>
    <xf numFmtId="1" fontId="5" fillId="0" borderId="13" xfId="1" applyNumberFormat="1" applyFont="1" applyBorder="1" applyAlignment="1">
      <alignment horizontal="right"/>
    </xf>
    <xf numFmtId="3" fontId="6" fillId="0" borderId="1" xfId="0" applyNumberFormat="1" applyFont="1" applyBorder="1" applyAlignment="1">
      <alignment horizontal="right"/>
    </xf>
    <xf numFmtId="165" fontId="16" fillId="5" borderId="2" xfId="1" applyNumberFormat="1" applyFont="1" applyFill="1" applyBorder="1"/>
    <xf numFmtId="165" fontId="6" fillId="0" borderId="13" xfId="0" applyNumberFormat="1" applyFont="1" applyBorder="1" applyAlignment="1">
      <alignment horizontal="center"/>
    </xf>
    <xf numFmtId="3" fontId="7" fillId="0" borderId="1" xfId="1" applyNumberFormat="1" applyFont="1" applyBorder="1" applyAlignment="1">
      <alignment horizontal="right"/>
    </xf>
    <xf numFmtId="3" fontId="6" fillId="0" borderId="3" xfId="0" applyNumberFormat="1" applyFont="1" applyBorder="1"/>
    <xf numFmtId="3" fontId="6" fillId="0" borderId="0" xfId="0" applyNumberFormat="1" applyFont="1"/>
    <xf numFmtId="0" fontId="14" fillId="5" borderId="1" xfId="4" applyFont="1" applyFill="1" applyBorder="1" applyAlignment="1">
      <alignment horizontal="right"/>
    </xf>
    <xf numFmtId="0" fontId="43" fillId="2" borderId="1" xfId="0" applyFont="1" applyFill="1" applyBorder="1" applyAlignment="1">
      <alignment horizontal="center" wrapText="1"/>
    </xf>
    <xf numFmtId="10" fontId="16" fillId="0" borderId="0" xfId="3" applyNumberFormat="1" applyFont="1"/>
    <xf numFmtId="43" fontId="20" fillId="6" borderId="0" xfId="9" applyFont="1" applyFill="1" applyAlignment="1">
      <alignment horizontal="center" vertical="center"/>
    </xf>
    <xf numFmtId="176" fontId="20" fillId="6" borderId="0" xfId="9" applyNumberFormat="1" applyFont="1" applyFill="1" applyAlignment="1">
      <alignment horizontal="center" vertical="center"/>
    </xf>
    <xf numFmtId="176" fontId="20" fillId="6" borderId="0" xfId="4" applyNumberFormat="1" applyFont="1" applyFill="1" applyAlignment="1">
      <alignment horizontal="center"/>
    </xf>
    <xf numFmtId="3" fontId="20" fillId="0" borderId="0" xfId="4" applyNumberFormat="1" applyFont="1" applyAlignment="1">
      <alignment horizontal="center"/>
    </xf>
    <xf numFmtId="175" fontId="20" fillId="6" borderId="0" xfId="9" applyNumberFormat="1" applyFont="1" applyFill="1" applyAlignment="1">
      <alignment horizontal="center" vertical="center"/>
    </xf>
    <xf numFmtId="179" fontId="20" fillId="0" borderId="0" xfId="9" applyNumberFormat="1" applyFont="1" applyAlignment="1">
      <alignment horizontal="center" vertical="center"/>
    </xf>
    <xf numFmtId="171" fontId="10" fillId="0" borderId="11" xfId="8" applyNumberFormat="1" applyFont="1" applyBorder="1"/>
    <xf numFmtId="0" fontId="16" fillId="0" borderId="32" xfId="3" applyFont="1" applyBorder="1"/>
    <xf numFmtId="1" fontId="16" fillId="0" borderId="38" xfId="1" applyNumberFormat="1" applyFont="1" applyBorder="1"/>
    <xf numFmtId="0" fontId="16" fillId="0" borderId="34" xfId="3" applyFont="1" applyBorder="1"/>
    <xf numFmtId="0" fontId="16" fillId="0" borderId="19" xfId="3" applyFont="1" applyBorder="1"/>
    <xf numFmtId="0" fontId="16" fillId="0" borderId="28" xfId="3" applyFont="1" applyBorder="1"/>
    <xf numFmtId="0" fontId="16" fillId="5" borderId="39" xfId="3" applyFont="1" applyFill="1" applyBorder="1"/>
    <xf numFmtId="0" fontId="16" fillId="5" borderId="41" xfId="3" applyFont="1" applyFill="1" applyBorder="1"/>
    <xf numFmtId="0" fontId="33" fillId="0" borderId="23" xfId="3" applyFont="1" applyBorder="1"/>
    <xf numFmtId="0" fontId="33" fillId="0" borderId="31" xfId="3" applyFont="1" applyBorder="1"/>
    <xf numFmtId="9" fontId="16" fillId="0" borderId="38" xfId="1" applyNumberFormat="1" applyFont="1" applyBorder="1"/>
    <xf numFmtId="3" fontId="16" fillId="0" borderId="2" xfId="1" applyNumberFormat="1" applyFont="1" applyBorder="1"/>
    <xf numFmtId="42" fontId="16" fillId="5" borderId="40" xfId="1" applyNumberFormat="1" applyFont="1" applyFill="1" applyBorder="1"/>
    <xf numFmtId="0" fontId="16" fillId="0" borderId="10" xfId="1" applyNumberFormat="1" applyFont="1" applyBorder="1"/>
    <xf numFmtId="165" fontId="33" fillId="0" borderId="45" xfId="1" applyNumberFormat="1" applyFont="1" applyBorder="1"/>
    <xf numFmtId="44" fontId="16" fillId="0" borderId="38" xfId="1" applyFont="1" applyBorder="1"/>
    <xf numFmtId="0" fontId="16" fillId="0" borderId="46" xfId="3" applyFont="1" applyBorder="1"/>
    <xf numFmtId="0" fontId="16" fillId="0" borderId="47" xfId="3" applyFont="1" applyBorder="1"/>
    <xf numFmtId="0" fontId="16" fillId="0" borderId="48" xfId="3" applyFont="1" applyBorder="1"/>
    <xf numFmtId="3" fontId="16" fillId="0" borderId="49" xfId="1" applyNumberFormat="1" applyFont="1" applyBorder="1"/>
    <xf numFmtId="0" fontId="16" fillId="0" borderId="50" xfId="3" applyFont="1" applyBorder="1"/>
    <xf numFmtId="0" fontId="16" fillId="5" borderId="23" xfId="3" applyFont="1" applyFill="1" applyBorder="1"/>
    <xf numFmtId="42" fontId="16" fillId="5" borderId="45" xfId="1" applyNumberFormat="1" applyFont="1" applyFill="1" applyBorder="1"/>
    <xf numFmtId="0" fontId="16" fillId="5" borderId="31" xfId="3" applyFont="1" applyFill="1" applyBorder="1"/>
    <xf numFmtId="0" fontId="33" fillId="5" borderId="32" xfId="3" applyFont="1" applyFill="1" applyBorder="1"/>
    <xf numFmtId="165" fontId="33" fillId="5" borderId="38" xfId="1" applyNumberFormat="1" applyFont="1" applyFill="1" applyBorder="1"/>
    <xf numFmtId="0" fontId="33" fillId="5" borderId="34" xfId="3" applyFont="1" applyFill="1" applyBorder="1"/>
    <xf numFmtId="0" fontId="38" fillId="0" borderId="19" xfId="3" applyFont="1" applyBorder="1"/>
    <xf numFmtId="0" fontId="38" fillId="0" borderId="28" xfId="3" applyFont="1" applyBorder="1"/>
    <xf numFmtId="0" fontId="38" fillId="0" borderId="39" xfId="3" applyFont="1" applyBorder="1"/>
    <xf numFmtId="42" fontId="38" fillId="0" borderId="40" xfId="1" applyNumberFormat="1" applyFont="1" applyBorder="1"/>
    <xf numFmtId="0" fontId="38" fillId="0" borderId="41" xfId="3" applyFont="1" applyBorder="1"/>
    <xf numFmtId="0" fontId="33" fillId="0" borderId="34" xfId="3" applyFont="1" applyBorder="1"/>
    <xf numFmtId="42" fontId="33" fillId="0" borderId="45" xfId="1" applyNumberFormat="1" applyFont="1" applyBorder="1"/>
    <xf numFmtId="0" fontId="33" fillId="0" borderId="0" xfId="3" applyFont="1"/>
    <xf numFmtId="165" fontId="33" fillId="0" borderId="0" xfId="1" applyNumberFormat="1" applyFont="1"/>
    <xf numFmtId="0" fontId="16" fillId="5" borderId="19" xfId="3" applyFont="1" applyFill="1" applyBorder="1"/>
    <xf numFmtId="0" fontId="16" fillId="5" borderId="28" xfId="3" applyFont="1" applyFill="1" applyBorder="1"/>
    <xf numFmtId="0" fontId="33" fillId="0" borderId="39" xfId="3" applyFont="1" applyBorder="1"/>
    <xf numFmtId="165" fontId="33" fillId="0" borderId="40" xfId="1" applyNumberFormat="1" applyFont="1" applyBorder="1"/>
    <xf numFmtId="0" fontId="33" fillId="0" borderId="41" xfId="3" applyFont="1" applyBorder="1"/>
    <xf numFmtId="0" fontId="43" fillId="2" borderId="29" xfId="0" applyFont="1" applyFill="1" applyBorder="1" applyAlignment="1">
      <alignment horizontal="left" wrapText="1"/>
    </xf>
    <xf numFmtId="0" fontId="43" fillId="2" borderId="31" xfId="0" applyFont="1" applyFill="1" applyBorder="1" applyAlignment="1">
      <alignment horizontal="left" wrapText="1"/>
    </xf>
    <xf numFmtId="0" fontId="59" fillId="0" borderId="0" xfId="0" applyFont="1" applyAlignment="1">
      <alignment horizontal="right"/>
    </xf>
    <xf numFmtId="42" fontId="27" fillId="0" borderId="0" xfId="14" applyNumberFormat="1" applyFont="1" applyFill="1" applyAlignment="1">
      <alignment horizontal="right"/>
    </xf>
    <xf numFmtId="170" fontId="27" fillId="0" borderId="0" xfId="14" applyNumberFormat="1" applyFont="1" applyFill="1" applyAlignment="1">
      <alignment horizontal="right"/>
    </xf>
    <xf numFmtId="0" fontId="27" fillId="0" borderId="0" xfId="0" applyFont="1"/>
    <xf numFmtId="171" fontId="16" fillId="0" borderId="2" xfId="1" applyNumberFormat="1" applyFont="1" applyBorder="1"/>
    <xf numFmtId="171" fontId="16" fillId="0" borderId="38" xfId="1" applyNumberFormat="1" applyFont="1" applyBorder="1"/>
    <xf numFmtId="0" fontId="61" fillId="0" borderId="0" xfId="0" applyFont="1"/>
    <xf numFmtId="3" fontId="33" fillId="0" borderId="0" xfId="0" applyNumberFormat="1" applyFont="1"/>
    <xf numFmtId="0" fontId="11" fillId="0" borderId="1" xfId="0" applyFont="1" applyBorder="1"/>
    <xf numFmtId="165" fontId="8" fillId="2" borderId="1" xfId="1" applyNumberFormat="1" applyFont="1" applyFill="1" applyBorder="1" applyAlignment="1">
      <alignment horizontal="right"/>
    </xf>
    <xf numFmtId="3" fontId="11" fillId="0" borderId="1" xfId="0" applyNumberFormat="1" applyFont="1" applyBorder="1" applyAlignment="1">
      <alignment horizontal="right"/>
    </xf>
    <xf numFmtId="3" fontId="9" fillId="0" borderId="1" xfId="0" applyNumberFormat="1" applyFont="1" applyBorder="1" applyAlignment="1">
      <alignment horizontal="right"/>
    </xf>
    <xf numFmtId="0" fontId="62" fillId="11" borderId="1" xfId="0" applyFont="1" applyFill="1" applyBorder="1" applyAlignment="1">
      <alignment horizontal="center" wrapText="1"/>
    </xf>
    <xf numFmtId="0" fontId="62" fillId="11" borderId="1" xfId="0" applyFont="1" applyFill="1" applyBorder="1"/>
    <xf numFmtId="0" fontId="64" fillId="0" borderId="1" xfId="0" applyFont="1" applyFill="1" applyBorder="1"/>
    <xf numFmtId="0" fontId="65" fillId="0" borderId="1" xfId="0" applyFont="1" applyFill="1" applyBorder="1"/>
    <xf numFmtId="1" fontId="65" fillId="0" borderId="1" xfId="0" applyNumberFormat="1" applyFont="1" applyFill="1" applyBorder="1"/>
    <xf numFmtId="0" fontId="62" fillId="0" borderId="1" xfId="0" applyFont="1" applyBorder="1"/>
    <xf numFmtId="1" fontId="62" fillId="0" borderId="1" xfId="0" applyNumberFormat="1" applyFont="1" applyBorder="1"/>
    <xf numFmtId="0" fontId="62" fillId="0" borderId="0" xfId="0" applyFont="1"/>
    <xf numFmtId="0" fontId="43" fillId="3" borderId="1" xfId="0" applyFont="1" applyFill="1" applyBorder="1" applyAlignment="1">
      <alignment horizontal="left" wrapText="1"/>
    </xf>
    <xf numFmtId="3" fontId="16" fillId="0" borderId="1" xfId="0" applyNumberFormat="1" applyFont="1" applyFill="1" applyBorder="1"/>
    <xf numFmtId="0" fontId="6" fillId="0" borderId="0" xfId="3" applyFont="1" applyAlignment="1">
      <alignment horizontal="left" wrapText="1"/>
    </xf>
    <xf numFmtId="0" fontId="56" fillId="0" borderId="0" xfId="15"/>
    <xf numFmtId="0" fontId="6" fillId="4" borderId="0" xfId="0" applyFont="1" applyFill="1" applyAlignment="1">
      <alignment horizontal="left"/>
    </xf>
    <xf numFmtId="0" fontId="6" fillId="4" borderId="0" xfId="0" applyFont="1" applyFill="1"/>
    <xf numFmtId="0" fontId="16" fillId="0" borderId="1" xfId="3" applyFont="1" applyFill="1" applyBorder="1" applyAlignment="1">
      <alignment horizontal="left" vertical="center" wrapText="1"/>
    </xf>
    <xf numFmtId="0" fontId="6" fillId="0" borderId="0" xfId="0" applyFont="1" applyFill="1"/>
    <xf numFmtId="0" fontId="6" fillId="0" borderId="8" xfId="0" applyFont="1" applyFill="1" applyBorder="1"/>
    <xf numFmtId="0" fontId="6" fillId="0" borderId="11" xfId="0" applyFont="1" applyFill="1" applyBorder="1"/>
    <xf numFmtId="0" fontId="6" fillId="0" borderId="5" xfId="0" applyFont="1" applyFill="1" applyBorder="1"/>
    <xf numFmtId="0" fontId="35" fillId="0" borderId="0" xfId="0" applyFont="1" applyFill="1"/>
    <xf numFmtId="0" fontId="6" fillId="0" borderId="15" xfId="0" applyFont="1" applyFill="1" applyBorder="1"/>
    <xf numFmtId="3" fontId="6" fillId="0" borderId="15" xfId="0" applyNumberFormat="1" applyFont="1" applyFill="1" applyBorder="1" applyAlignment="1">
      <alignment horizontal="center"/>
    </xf>
    <xf numFmtId="0" fontId="6" fillId="0" borderId="0" xfId="0" applyFont="1" applyFill="1" applyAlignment="1">
      <alignment horizontal="center"/>
    </xf>
    <xf numFmtId="166" fontId="6" fillId="0" borderId="15" xfId="0" applyNumberFormat="1" applyFont="1" applyFill="1" applyBorder="1" applyAlignment="1">
      <alignment horizontal="center"/>
    </xf>
    <xf numFmtId="42" fontId="6" fillId="0" borderId="15" xfId="7" applyNumberFormat="1" applyFill="1" applyBorder="1" applyAlignment="1">
      <alignment horizontal="center"/>
    </xf>
    <xf numFmtId="0" fontId="6" fillId="0" borderId="10" xfId="0" applyFont="1" applyFill="1" applyBorder="1"/>
    <xf numFmtId="0" fontId="6" fillId="0" borderId="12" xfId="0" applyFont="1" applyFill="1" applyBorder="1"/>
    <xf numFmtId="0" fontId="6" fillId="0" borderId="14" xfId="0" applyFont="1" applyFill="1" applyBorder="1"/>
    <xf numFmtId="3" fontId="6" fillId="0" borderId="14" xfId="0" applyNumberFormat="1" applyFont="1" applyFill="1" applyBorder="1" applyAlignment="1">
      <alignment horizontal="center"/>
    </xf>
    <xf numFmtId="0" fontId="6" fillId="0" borderId="11" xfId="0" applyFont="1" applyFill="1" applyBorder="1" applyAlignment="1">
      <alignment horizontal="center"/>
    </xf>
    <xf numFmtId="167" fontId="6" fillId="0" borderId="14" xfId="0" applyNumberFormat="1" applyFont="1" applyFill="1" applyBorder="1" applyAlignment="1">
      <alignment horizontal="right"/>
    </xf>
    <xf numFmtId="42" fontId="6" fillId="0" borderId="14" xfId="7" applyNumberFormat="1" applyFill="1" applyBorder="1" applyAlignment="1">
      <alignment horizontal="center"/>
    </xf>
    <xf numFmtId="0" fontId="6" fillId="0" borderId="2" xfId="0" applyFont="1" applyFill="1" applyBorder="1"/>
    <xf numFmtId="0" fontId="35" fillId="0" borderId="4" xfId="0" applyFont="1" applyFill="1" applyBorder="1"/>
    <xf numFmtId="0" fontId="6" fillId="0" borderId="1" xfId="0" applyFont="1" applyFill="1" applyBorder="1"/>
    <xf numFmtId="3" fontId="6" fillId="0" borderId="1" xfId="0" applyNumberFormat="1" applyFont="1" applyFill="1" applyBorder="1" applyAlignment="1">
      <alignment horizontal="center"/>
    </xf>
    <xf numFmtId="0" fontId="6" fillId="0" borderId="1" xfId="0" applyFont="1" applyFill="1" applyBorder="1" applyAlignment="1">
      <alignment horizontal="center"/>
    </xf>
    <xf numFmtId="166" fontId="6" fillId="0" borderId="1" xfId="0" applyNumberFormat="1" applyFont="1" applyFill="1" applyBorder="1" applyAlignment="1">
      <alignment horizontal="center"/>
    </xf>
    <xf numFmtId="42" fontId="6" fillId="0" borderId="1" xfId="7" applyNumberFormat="1" applyFill="1" applyBorder="1" applyAlignment="1">
      <alignment horizontal="center"/>
    </xf>
    <xf numFmtId="3" fontId="6" fillId="0" borderId="1" xfId="0" applyNumberFormat="1" applyFont="1" applyBorder="1"/>
    <xf numFmtId="165" fontId="6" fillId="0" borderId="1" xfId="7" applyNumberFormat="1" applyFill="1" applyBorder="1"/>
    <xf numFmtId="166" fontId="10" fillId="0" borderId="0" xfId="0" applyNumberFormat="1" applyFont="1" applyFill="1"/>
    <xf numFmtId="0" fontId="35" fillId="4" borderId="0" xfId="6" applyFont="1" applyFill="1"/>
    <xf numFmtId="0" fontId="34" fillId="0" borderId="0" xfId="3" applyFont="1"/>
    <xf numFmtId="3" fontId="6" fillId="0" borderId="2" xfId="0" applyNumberFormat="1" applyFont="1" applyBorder="1"/>
    <xf numFmtId="0" fontId="16" fillId="4" borderId="0" xfId="0" applyFont="1" applyFill="1"/>
    <xf numFmtId="0" fontId="59" fillId="4" borderId="0" xfId="0" applyFont="1" applyFill="1" applyAlignment="1">
      <alignment horizontal="right"/>
    </xf>
    <xf numFmtId="0" fontId="7" fillId="4" borderId="0" xfId="6" applyFont="1" applyFill="1" applyAlignment="1">
      <alignment horizontal="center"/>
    </xf>
    <xf numFmtId="0" fontId="7" fillId="0" borderId="0" xfId="0" applyFont="1" applyAlignment="1">
      <alignment horizontal="center" wrapText="1"/>
    </xf>
    <xf numFmtId="0" fontId="7" fillId="0" borderId="0" xfId="0" applyFont="1"/>
    <xf numFmtId="0" fontId="16" fillId="0" borderId="0" xfId="0" applyFont="1"/>
    <xf numFmtId="0" fontId="7" fillId="0" borderId="0" xfId="0" applyFont="1" applyAlignment="1">
      <alignment horizontal="left"/>
    </xf>
    <xf numFmtId="0" fontId="7" fillId="0" borderId="0" xfId="0" applyFont="1" applyAlignment="1">
      <alignment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43" fillId="2" borderId="1" xfId="0" applyFont="1" applyFill="1" applyBorder="1" applyAlignment="1">
      <alignment horizontal="left"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164" fontId="6" fillId="0" borderId="0" xfId="0" applyNumberFormat="1" applyFont="1" applyAlignment="1">
      <alignment horizontal="left"/>
    </xf>
    <xf numFmtId="1" fontId="6" fillId="0" borderId="0" xfId="0" applyNumberFormat="1" applyFont="1" applyAlignment="1">
      <alignment horizontal="left"/>
    </xf>
    <xf numFmtId="0" fontId="6" fillId="0" borderId="0" xfId="3" applyFont="1" applyAlignment="1">
      <alignment horizontal="center" wrapText="1"/>
    </xf>
    <xf numFmtId="0" fontId="47" fillId="0" borderId="0" xfId="4" applyFont="1"/>
    <xf numFmtId="0" fontId="7" fillId="0" borderId="0" xfId="0" applyFont="1" applyAlignment="1">
      <alignment horizontal="left"/>
    </xf>
    <xf numFmtId="0" fontId="43" fillId="2" borderId="1" xfId="0" applyFont="1" applyFill="1" applyBorder="1" applyAlignment="1">
      <alignment horizontal="left" wrapText="1"/>
    </xf>
    <xf numFmtId="164" fontId="6" fillId="0" borderId="0" xfId="0" applyNumberFormat="1" applyFont="1" applyAlignment="1">
      <alignment horizontal="left"/>
    </xf>
    <xf numFmtId="1" fontId="6" fillId="0" borderId="0" xfId="0" applyNumberFormat="1" applyFont="1" applyAlignment="1">
      <alignment horizontal="left"/>
    </xf>
    <xf numFmtId="0" fontId="2" fillId="0" borderId="0" xfId="0" applyFont="1"/>
    <xf numFmtId="0" fontId="2" fillId="0" borderId="0" xfId="3" applyFont="1"/>
    <xf numFmtId="0" fontId="2" fillId="0" borderId="0" xfId="4" applyFont="1"/>
    <xf numFmtId="0" fontId="2" fillId="0" borderId="0" xfId="3" applyFont="1" applyAlignment="1">
      <alignment horizontal="center"/>
    </xf>
    <xf numFmtId="3" fontId="2" fillId="0" borderId="0" xfId="3" applyNumberFormat="1" applyFont="1"/>
    <xf numFmtId="0" fontId="2" fillId="0" borderId="0" xfId="8" applyFont="1"/>
    <xf numFmtId="0" fontId="2" fillId="0" borderId="0" xfId="8" applyFont="1" applyAlignment="1">
      <alignment horizontal="center"/>
    </xf>
    <xf numFmtId="3" fontId="2" fillId="0" borderId="11" xfId="3" applyNumberFormat="1" applyFont="1" applyBorder="1"/>
    <xf numFmtId="0" fontId="2" fillId="0" borderId="11" xfId="3" applyFont="1" applyBorder="1"/>
    <xf numFmtId="2" fontId="2" fillId="0" borderId="0" xfId="3" applyNumberFormat="1" applyFont="1"/>
    <xf numFmtId="3" fontId="2" fillId="0" borderId="10" xfId="3" applyNumberFormat="1" applyFont="1" applyBorder="1"/>
    <xf numFmtId="0" fontId="2" fillId="0" borderId="12" xfId="3" applyFont="1" applyBorder="1"/>
    <xf numFmtId="3" fontId="2" fillId="0" borderId="5" xfId="3" applyNumberFormat="1" applyFont="1" applyBorder="1"/>
    <xf numFmtId="0" fontId="2" fillId="0" borderId="6" xfId="3" applyFont="1" applyBorder="1" applyAlignment="1">
      <alignment horizontal="right"/>
    </xf>
    <xf numFmtId="3" fontId="2" fillId="0" borderId="0" xfId="8" applyNumberFormat="1" applyFont="1"/>
    <xf numFmtId="3" fontId="2" fillId="0" borderId="17" xfId="3" applyNumberFormat="1" applyFont="1" applyBorder="1"/>
    <xf numFmtId="0" fontId="2" fillId="0" borderId="12" xfId="8" applyFont="1" applyBorder="1"/>
    <xf numFmtId="0" fontId="2" fillId="0" borderId="5" xfId="8" applyFont="1" applyBorder="1"/>
    <xf numFmtId="0" fontId="2" fillId="0" borderId="6" xfId="8" applyFont="1" applyBorder="1" applyAlignment="1">
      <alignment horizontal="right"/>
    </xf>
    <xf numFmtId="3" fontId="2" fillId="0" borderId="11" xfId="8" applyNumberFormat="1" applyFont="1" applyBorder="1"/>
    <xf numFmtId="0" fontId="2" fillId="0" borderId="11" xfId="8" applyFont="1" applyBorder="1"/>
    <xf numFmtId="1" fontId="2" fillId="0" borderId="0" xfId="8" applyNumberFormat="1" applyFont="1"/>
    <xf numFmtId="169" fontId="2" fillId="0" borderId="11" xfId="8" applyNumberFormat="1" applyFont="1" applyBorder="1"/>
    <xf numFmtId="0" fontId="2" fillId="0" borderId="0" xfId="8" applyFont="1" applyAlignment="1">
      <alignment horizontal="left" vertical="top"/>
    </xf>
    <xf numFmtId="0" fontId="2" fillId="0" borderId="0" xfId="4" applyFont="1" applyAlignment="1">
      <alignment horizontal="center"/>
    </xf>
    <xf numFmtId="3" fontId="2" fillId="0" borderId="11" xfId="4" applyNumberFormat="1" applyFont="1" applyBorder="1" applyAlignment="1">
      <alignment horizontal="center"/>
    </xf>
    <xf numFmtId="0" fontId="2" fillId="0" borderId="11" xfId="4" applyFont="1" applyBorder="1" applyAlignment="1">
      <alignment horizontal="center"/>
    </xf>
    <xf numFmtId="174" fontId="2" fillId="0" borderId="11" xfId="4" applyNumberFormat="1" applyFont="1" applyBorder="1" applyAlignment="1">
      <alignment horizontal="center"/>
    </xf>
    <xf numFmtId="3" fontId="2" fillId="4" borderId="11" xfId="4" applyNumberFormat="1" applyFont="1" applyFill="1" applyBorder="1" applyAlignment="1">
      <alignment horizontal="center"/>
    </xf>
    <xf numFmtId="3" fontId="2" fillId="0" borderId="0" xfId="4" applyNumberFormat="1" applyFont="1" applyAlignment="1">
      <alignment horizontal="center"/>
    </xf>
    <xf numFmtId="1" fontId="2" fillId="0" borderId="11" xfId="4" applyNumberFormat="1" applyFont="1" applyBorder="1" applyAlignment="1">
      <alignment horizontal="center"/>
    </xf>
    <xf numFmtId="0" fontId="2" fillId="0" borderId="11" xfId="4" applyFont="1" applyBorder="1"/>
    <xf numFmtId="9" fontId="2" fillId="0" borderId="0" xfId="10" applyFont="1" applyAlignment="1">
      <alignment horizontal="center"/>
    </xf>
    <xf numFmtId="11" fontId="2" fillId="0" borderId="0" xfId="4" applyNumberFormat="1" applyFont="1" applyAlignment="1">
      <alignment horizontal="center"/>
    </xf>
    <xf numFmtId="1" fontId="2" fillId="0" borderId="0" xfId="0" applyNumberFormat="1" applyFont="1"/>
    <xf numFmtId="175" fontId="2" fillId="0" borderId="11" xfId="4" applyNumberFormat="1" applyFont="1" applyBorder="1" applyAlignment="1">
      <alignment horizontal="center"/>
    </xf>
    <xf numFmtId="2" fontId="2" fillId="0" borderId="11" xfId="4" applyNumberFormat="1" applyFont="1" applyBorder="1" applyAlignment="1">
      <alignment horizontal="center"/>
    </xf>
    <xf numFmtId="1" fontId="2" fillId="0" borderId="11" xfId="9" applyNumberFormat="1" applyFont="1" applyBorder="1" applyAlignment="1">
      <alignment horizontal="center" vertical="center"/>
    </xf>
    <xf numFmtId="171" fontId="2" fillId="0" borderId="11" xfId="4" applyNumberFormat="1" applyFont="1" applyBorder="1" applyAlignment="1">
      <alignment horizontal="center"/>
    </xf>
    <xf numFmtId="2" fontId="2" fillId="0" borderId="0" xfId="4" applyNumberFormat="1" applyFont="1" applyAlignment="1">
      <alignment horizontal="center"/>
    </xf>
    <xf numFmtId="4" fontId="2" fillId="0" borderId="11" xfId="4" applyNumberFormat="1" applyFont="1" applyBorder="1" applyAlignment="1">
      <alignment horizontal="center"/>
    </xf>
    <xf numFmtId="169" fontId="2" fillId="0" borderId="11" xfId="4" applyNumberFormat="1" applyFont="1" applyBorder="1" applyAlignment="1">
      <alignment horizontal="center"/>
    </xf>
    <xf numFmtId="176" fontId="2" fillId="0" borderId="11" xfId="4" applyNumberFormat="1" applyFont="1" applyBorder="1" applyAlignment="1">
      <alignment horizontal="center"/>
    </xf>
    <xf numFmtId="1" fontId="2" fillId="0" borderId="0" xfId="10" applyNumberFormat="1" applyFont="1" applyAlignment="1">
      <alignment horizontal="center"/>
    </xf>
    <xf numFmtId="3" fontId="2" fillId="0" borderId="0" xfId="4" applyNumberFormat="1" applyFont="1" applyAlignment="1">
      <alignment horizontal="left"/>
    </xf>
    <xf numFmtId="0" fontId="2" fillId="0" borderId="0" xfId="4" applyFont="1" applyAlignment="1">
      <alignment horizontal="left"/>
    </xf>
    <xf numFmtId="175" fontId="2" fillId="0" borderId="0" xfId="4" applyNumberFormat="1" applyFont="1" applyAlignment="1">
      <alignment horizontal="left"/>
    </xf>
    <xf numFmtId="175" fontId="2" fillId="0" borderId="11" xfId="3" applyNumberFormat="1" applyFont="1" applyBorder="1"/>
    <xf numFmtId="0" fontId="27" fillId="0" borderId="0" xfId="0" applyFont="1" applyAlignment="1">
      <alignment horizontal="right"/>
    </xf>
    <xf numFmtId="42" fontId="67" fillId="0" borderId="0" xfId="14" applyNumberFormat="1" applyFont="1" applyFill="1" applyAlignment="1">
      <alignment horizontal="right"/>
    </xf>
    <xf numFmtId="165" fontId="10" fillId="0" borderId="0" xfId="1" applyNumberFormat="1" applyFont="1"/>
    <xf numFmtId="0" fontId="7" fillId="2" borderId="1" xfId="0" applyFont="1" applyFill="1" applyBorder="1" applyAlignment="1">
      <alignment horizontal="left" wrapText="1"/>
    </xf>
    <xf numFmtId="166" fontId="7" fillId="2" borderId="1" xfId="0" applyNumberFormat="1" applyFont="1" applyFill="1" applyBorder="1" applyAlignment="1">
      <alignment horizontal="left" wrapText="1"/>
    </xf>
    <xf numFmtId="166" fontId="7" fillId="2" borderId="1" xfId="0" applyNumberFormat="1" applyFont="1" applyFill="1" applyBorder="1" applyAlignment="1">
      <alignment horizontal="center" wrapText="1"/>
    </xf>
    <xf numFmtId="3" fontId="7" fillId="2" borderId="1" xfId="0" applyNumberFormat="1" applyFont="1" applyFill="1" applyBorder="1" applyAlignment="1">
      <alignment horizontal="center" wrapText="1"/>
    </xf>
    <xf numFmtId="0" fontId="6" fillId="0" borderId="13" xfId="0" applyFont="1" applyBorder="1" applyAlignment="1">
      <alignment horizontal="center"/>
    </xf>
    <xf numFmtId="3" fontId="5" fillId="0" borderId="13" xfId="0" applyNumberFormat="1" applyFont="1" applyBorder="1" applyAlignment="1">
      <alignment horizontal="right"/>
    </xf>
    <xf numFmtId="165" fontId="7" fillId="2" borderId="1" xfId="0" applyNumberFormat="1" applyFont="1" applyFill="1" applyBorder="1" applyAlignment="1">
      <alignment horizontal="center"/>
    </xf>
    <xf numFmtId="3" fontId="7" fillId="2" borderId="1" xfId="0" applyNumberFormat="1" applyFont="1" applyFill="1" applyBorder="1" applyAlignment="1">
      <alignment horizontal="right"/>
    </xf>
    <xf numFmtId="0" fontId="10" fillId="0" borderId="0" xfId="0" applyFont="1" applyFill="1"/>
    <xf numFmtId="0" fontId="6" fillId="0" borderId="0" xfId="0" applyFont="1" applyAlignment="1">
      <alignment horizontal="left" wrapText="1"/>
    </xf>
    <xf numFmtId="178" fontId="6" fillId="0" borderId="0" xfId="0" applyNumberFormat="1" applyFont="1"/>
    <xf numFmtId="0" fontId="67" fillId="0" borderId="0" xfId="0" applyFont="1" applyAlignment="1">
      <alignment horizontal="right"/>
    </xf>
    <xf numFmtId="172" fontId="5" fillId="0" borderId="1" xfId="9" applyNumberFormat="1" applyFont="1" applyBorder="1" applyAlignment="1">
      <alignment horizontal="right"/>
    </xf>
    <xf numFmtId="172" fontId="5" fillId="0" borderId="13" xfId="9" applyNumberFormat="1" applyFont="1" applyBorder="1" applyAlignment="1">
      <alignment horizontal="right"/>
    </xf>
    <xf numFmtId="3" fontId="5" fillId="0" borderId="1" xfId="1" applyNumberFormat="1" applyFont="1" applyBorder="1" applyAlignment="1">
      <alignment horizontal="right"/>
    </xf>
    <xf numFmtId="3" fontId="5" fillId="0" borderId="13" xfId="1" applyNumberFormat="1" applyFont="1" applyBorder="1" applyAlignment="1">
      <alignment horizontal="right"/>
    </xf>
    <xf numFmtId="0" fontId="35" fillId="0" borderId="0" xfId="0" applyFont="1" applyAlignment="1">
      <alignment horizontal="left"/>
    </xf>
    <xf numFmtId="5" fontId="6" fillId="0" borderId="0" xfId="0" applyNumberFormat="1" applyFont="1"/>
    <xf numFmtId="165" fontId="6" fillId="0" borderId="0" xfId="0" applyNumberFormat="1" applyFont="1"/>
    <xf numFmtId="170" fontId="67" fillId="0" borderId="0" xfId="14" applyNumberFormat="1" applyFont="1" applyFill="1" applyAlignment="1">
      <alignment horizontal="right"/>
    </xf>
    <xf numFmtId="0" fontId="14" fillId="0" borderId="0" xfId="0" applyFont="1"/>
    <xf numFmtId="165" fontId="6" fillId="0" borderId="13"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69" fillId="0" borderId="0" xfId="0" applyFont="1"/>
    <xf numFmtId="164" fontId="6" fillId="0" borderId="0" xfId="0" applyNumberFormat="1" applyFont="1" applyAlignment="1">
      <alignment horizontal="left"/>
    </xf>
    <xf numFmtId="1" fontId="6" fillId="0" borderId="0" xfId="0" applyNumberFormat="1" applyFont="1" applyAlignment="1">
      <alignment horizontal="left"/>
    </xf>
    <xf numFmtId="0" fontId="5" fillId="0" borderId="0" xfId="0" applyFont="1" applyAlignment="1">
      <alignment horizontal="right"/>
    </xf>
    <xf numFmtId="10" fontId="67" fillId="0" borderId="0" xfId="14" applyNumberFormat="1" applyFont="1" applyFill="1" applyAlignment="1">
      <alignment horizontal="right"/>
    </xf>
    <xf numFmtId="44" fontId="7" fillId="2" borderId="1" xfId="0" applyNumberFormat="1" applyFont="1" applyFill="1" applyBorder="1" applyAlignment="1">
      <alignment horizontal="center"/>
    </xf>
    <xf numFmtId="44" fontId="6" fillId="0" borderId="0" xfId="0" applyNumberFormat="1" applyFont="1"/>
    <xf numFmtId="165" fontId="70" fillId="0" borderId="1" xfId="0" applyNumberFormat="1" applyFont="1" applyBorder="1" applyAlignment="1">
      <alignment horizontal="center"/>
    </xf>
    <xf numFmtId="0" fontId="16" fillId="0" borderId="0" xfId="0" applyFont="1" applyAlignment="1"/>
    <xf numFmtId="42" fontId="71" fillId="0" borderId="0" xfId="14" applyNumberFormat="1" applyFont="1" applyFill="1" applyAlignment="1">
      <alignment horizontal="right"/>
    </xf>
    <xf numFmtId="170" fontId="71" fillId="0" borderId="0" xfId="14" applyNumberFormat="1" applyFont="1" applyFill="1" applyAlignment="1">
      <alignment horizontal="right"/>
    </xf>
    <xf numFmtId="177" fontId="27" fillId="0" borderId="0" xfId="0" applyNumberFormat="1" applyFont="1" applyFill="1"/>
    <xf numFmtId="165" fontId="6" fillId="0" borderId="1" xfId="0" applyNumberFormat="1" applyFont="1" applyFill="1" applyBorder="1" applyAlignment="1">
      <alignment horizontal="center"/>
    </xf>
    <xf numFmtId="177" fontId="67" fillId="0" borderId="0" xfId="14" applyNumberFormat="1" applyFont="1" applyFill="1" applyAlignment="1">
      <alignment horizontal="right"/>
    </xf>
    <xf numFmtId="165" fontId="6" fillId="4" borderId="1" xfId="0" applyNumberFormat="1" applyFont="1" applyFill="1" applyBorder="1" applyAlignment="1">
      <alignment horizontal="center"/>
    </xf>
    <xf numFmtId="0" fontId="70" fillId="0" borderId="1" xfId="0" applyFont="1" applyBorder="1" applyAlignment="1">
      <alignment horizontal="center"/>
    </xf>
    <xf numFmtId="170" fontId="72" fillId="0" borderId="0" xfId="14" applyNumberFormat="1" applyFont="1" applyFill="1" applyAlignment="1">
      <alignment horizontal="right"/>
    </xf>
    <xf numFmtId="177" fontId="71" fillId="0" borderId="0" xfId="14" applyNumberFormat="1" applyFont="1" applyFill="1" applyAlignment="1">
      <alignment horizontal="right"/>
    </xf>
    <xf numFmtId="44" fontId="67" fillId="0" borderId="0" xfId="14" applyNumberFormat="1" applyFont="1" applyFill="1" applyAlignment="1">
      <alignment horizontal="right"/>
    </xf>
    <xf numFmtId="165" fontId="7" fillId="0" borderId="1" xfId="0" applyNumberFormat="1" applyFont="1" applyFill="1" applyBorder="1" applyAlignment="1">
      <alignment horizontal="center"/>
    </xf>
    <xf numFmtId="0" fontId="16" fillId="0" borderId="0" xfId="0" applyFont="1" applyFill="1" applyAlignment="1"/>
    <xf numFmtId="9" fontId="16" fillId="0" borderId="0" xfId="2" applyFont="1" applyFill="1"/>
    <xf numFmtId="177" fontId="6" fillId="0" borderId="0" xfId="1" applyNumberFormat="1" applyFont="1" applyFill="1"/>
    <xf numFmtId="0" fontId="6" fillId="0" borderId="0" xfId="3" applyFont="1" applyFill="1"/>
    <xf numFmtId="180" fontId="71" fillId="0" borderId="0" xfId="14" applyNumberFormat="1" applyFont="1" applyFill="1" applyAlignment="1">
      <alignment horizontal="right"/>
    </xf>
    <xf numFmtId="1" fontId="6" fillId="0" borderId="0" xfId="0" applyNumberFormat="1" applyFont="1" applyAlignment="1">
      <alignment horizontal="left"/>
    </xf>
    <xf numFmtId="0" fontId="33" fillId="0" borderId="1" xfId="3" applyFont="1" applyBorder="1" applyAlignment="1">
      <alignment horizontal="right" vertical="center" wrapText="1"/>
    </xf>
    <xf numFmtId="165" fontId="33" fillId="0" borderId="1" xfId="7" applyNumberFormat="1" applyFont="1" applyBorder="1" applyAlignment="1">
      <alignment horizontal="right" vertical="center" wrapText="1"/>
    </xf>
    <xf numFmtId="3" fontId="33" fillId="0" borderId="1" xfId="3" applyNumberFormat="1" applyFont="1" applyFill="1" applyBorder="1" applyAlignment="1">
      <alignment horizontal="center" vertical="center"/>
    </xf>
    <xf numFmtId="3" fontId="33" fillId="0" borderId="1" xfId="3" applyNumberFormat="1" applyFont="1" applyFill="1" applyBorder="1" applyAlignment="1">
      <alignment horizontal="center" vertical="center" wrapText="1"/>
    </xf>
    <xf numFmtId="3" fontId="6" fillId="0" borderId="13" xfId="0" applyNumberFormat="1" applyFont="1" applyBorder="1" applyAlignment="1">
      <alignment horizontal="right"/>
    </xf>
    <xf numFmtId="165" fontId="70" fillId="0" borderId="1" xfId="0" applyNumberFormat="1" applyFont="1" applyFill="1" applyBorder="1" applyAlignment="1">
      <alignment horizontal="center"/>
    </xf>
    <xf numFmtId="165" fontId="71" fillId="0" borderId="0" xfId="14" applyNumberFormat="1" applyFont="1" applyFill="1" applyAlignment="1">
      <alignment horizontal="right"/>
    </xf>
    <xf numFmtId="0" fontId="43" fillId="2" borderId="1" xfId="0" applyFont="1" applyFill="1" applyBorder="1" applyAlignment="1">
      <alignment horizontal="left" wrapText="1"/>
    </xf>
    <xf numFmtId="0" fontId="6" fillId="4" borderId="53" xfId="6" applyFill="1" applyBorder="1"/>
    <xf numFmtId="165" fontId="6" fillId="0" borderId="54" xfId="7" applyNumberFormat="1" applyBorder="1" applyAlignment="1">
      <alignment horizontal="center" wrapText="1"/>
    </xf>
    <xf numFmtId="165" fontId="6" fillId="0" borderId="51" xfId="7" applyNumberFormat="1" applyBorder="1" applyAlignment="1">
      <alignment horizontal="center" wrapText="1"/>
    </xf>
    <xf numFmtId="165" fontId="6" fillId="0" borderId="52" xfId="7" applyNumberFormat="1" applyBorder="1" applyAlignment="1">
      <alignment horizontal="center" wrapText="1"/>
    </xf>
    <xf numFmtId="165" fontId="6" fillId="0" borderId="39" xfId="7" applyNumberFormat="1" applyBorder="1" applyAlignment="1">
      <alignment horizontal="center" wrapText="1"/>
    </xf>
    <xf numFmtId="165" fontId="6" fillId="0" borderId="39" xfId="7" applyNumberFormat="1" applyBorder="1"/>
    <xf numFmtId="165" fontId="6" fillId="0" borderId="51" xfId="7" applyNumberFormat="1" applyBorder="1"/>
    <xf numFmtId="165" fontId="6" fillId="0" borderId="52" xfId="7" applyNumberFormat="1" applyBorder="1"/>
    <xf numFmtId="165" fontId="6" fillId="0" borderId="52" xfId="6" applyNumberFormat="1" applyBorder="1"/>
    <xf numFmtId="165" fontId="6" fillId="9" borderId="44" xfId="6" applyNumberFormat="1" applyFill="1" applyBorder="1"/>
    <xf numFmtId="165" fontId="6" fillId="0" borderId="43" xfId="6" applyNumberFormat="1" applyBorder="1"/>
    <xf numFmtId="165" fontId="6" fillId="0" borderId="41" xfId="6" applyNumberFormat="1" applyBorder="1"/>
    <xf numFmtId="165" fontId="6" fillId="0" borderId="44" xfId="6" applyNumberFormat="1" applyBorder="1"/>
    <xf numFmtId="165" fontId="6" fillId="0" borderId="41" xfId="7" applyNumberFormat="1" applyBorder="1"/>
    <xf numFmtId="165" fontId="7" fillId="0" borderId="41" xfId="6" applyNumberFormat="1" applyFont="1" applyBorder="1"/>
    <xf numFmtId="0" fontId="6" fillId="4" borderId="37" xfId="6" applyFill="1" applyBorder="1"/>
    <xf numFmtId="165" fontId="6" fillId="0" borderId="33" xfId="7" applyNumberFormat="1" applyBorder="1" applyAlignment="1">
      <alignment horizontal="center" wrapText="1"/>
    </xf>
    <xf numFmtId="165" fontId="6" fillId="0" borderId="55" xfId="7" applyNumberFormat="1" applyBorder="1" applyAlignment="1">
      <alignment horizontal="center" wrapText="1"/>
    </xf>
    <xf numFmtId="165" fontId="6" fillId="0" borderId="56" xfId="7" applyNumberFormat="1" applyBorder="1" applyAlignment="1">
      <alignment horizontal="center" wrapText="1"/>
    </xf>
    <xf numFmtId="165" fontId="6" fillId="0" borderId="32" xfId="7" applyNumberFormat="1" applyBorder="1" applyAlignment="1">
      <alignment horizontal="center" wrapText="1"/>
    </xf>
    <xf numFmtId="165" fontId="6" fillId="0" borderId="32" xfId="7" applyNumberFormat="1" applyBorder="1"/>
    <xf numFmtId="165" fontId="6" fillId="0" borderId="55" xfId="7" applyNumberFormat="1" applyBorder="1"/>
    <xf numFmtId="165" fontId="6" fillId="0" borderId="56" xfId="7" applyNumberFormat="1" applyBorder="1"/>
    <xf numFmtId="165" fontId="6" fillId="0" borderId="56" xfId="6" applyNumberFormat="1" applyBorder="1"/>
    <xf numFmtId="165" fontId="6" fillId="9" borderId="42" xfId="6" applyNumberFormat="1" applyFill="1" applyBorder="1"/>
    <xf numFmtId="165" fontId="6" fillId="0" borderId="35" xfId="6" applyNumberFormat="1" applyBorder="1"/>
    <xf numFmtId="165" fontId="6" fillId="0" borderId="34" xfId="6" applyNumberFormat="1" applyBorder="1"/>
    <xf numFmtId="165" fontId="6" fillId="0" borderId="42" xfId="6" applyNumberFormat="1" applyBorder="1"/>
    <xf numFmtId="165" fontId="6" fillId="0" borderId="34" xfId="7" applyNumberFormat="1" applyBorder="1"/>
    <xf numFmtId="165" fontId="7" fillId="0" borderId="34" xfId="6" applyNumberFormat="1" applyFont="1" applyBorder="1"/>
    <xf numFmtId="0" fontId="16" fillId="0" borderId="0" xfId="0" applyFont="1" applyAlignment="1">
      <alignment vertical="center"/>
    </xf>
    <xf numFmtId="0" fontId="43" fillId="2" borderId="30" xfId="0" applyFont="1" applyFill="1" applyBorder="1" applyAlignment="1">
      <alignment horizontal="left" vertical="center" wrapText="1"/>
    </xf>
    <xf numFmtId="0" fontId="6" fillId="0" borderId="0" xfId="0" applyFont="1" applyBorder="1"/>
    <xf numFmtId="0" fontId="6" fillId="0" borderId="0" xfId="3" applyFont="1" applyBorder="1"/>
    <xf numFmtId="0" fontId="7" fillId="0" borderId="0" xfId="0" applyFont="1" applyBorder="1" applyAlignment="1">
      <alignment wrapText="1"/>
    </xf>
    <xf numFmtId="166" fontId="6" fillId="0" borderId="1" xfId="0"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Alignment="1">
      <alignment horizontal="left" vertical="center" wrapText="1"/>
    </xf>
    <xf numFmtId="0" fontId="16" fillId="0" borderId="0" xfId="0" applyFont="1" applyBorder="1"/>
    <xf numFmtId="0" fontId="16" fillId="0" borderId="0" xfId="0" applyFont="1" applyBorder="1" applyAlignment="1">
      <alignment horizontal="center"/>
    </xf>
    <xf numFmtId="0" fontId="6" fillId="10" borderId="2" xfId="0" applyFont="1" applyFill="1" applyBorder="1"/>
    <xf numFmtId="0" fontId="6" fillId="10" borderId="0" xfId="0" applyFont="1" applyFill="1" applyBorder="1"/>
    <xf numFmtId="0" fontId="6" fillId="10" borderId="6" xfId="0" applyFont="1" applyFill="1" applyBorder="1"/>
    <xf numFmtId="0" fontId="16" fillId="0" borderId="0" xfId="0" applyFont="1" applyAlignment="1">
      <alignment vertical="top"/>
    </xf>
    <xf numFmtId="0" fontId="16" fillId="0" borderId="0" xfId="4" applyFont="1" applyAlignment="1">
      <alignment horizontal="center" vertical="top"/>
    </xf>
    <xf numFmtId="44" fontId="16" fillId="0" borderId="0" xfId="1" applyFont="1" applyAlignment="1">
      <alignment vertical="top"/>
    </xf>
    <xf numFmtId="0" fontId="6" fillId="0" borderId="0" xfId="11" applyFont="1" applyAlignment="1">
      <alignment vertical="top"/>
    </xf>
    <xf numFmtId="44" fontId="16" fillId="4" borderId="0" xfId="1" applyFont="1" applyFill="1" applyAlignment="1">
      <alignment vertical="top"/>
    </xf>
    <xf numFmtId="0" fontId="25" fillId="0" borderId="0" xfId="0" applyFont="1"/>
    <xf numFmtId="44" fontId="16" fillId="0" borderId="0" xfId="1" applyFont="1" applyAlignment="1"/>
    <xf numFmtId="0" fontId="16" fillId="0" borderId="0" xfId="0" applyFont="1" applyAlignment="1">
      <alignment wrapText="1"/>
    </xf>
    <xf numFmtId="0" fontId="25" fillId="0" borderId="0" xfId="0" applyFont="1" applyAlignment="1">
      <alignment vertical="center"/>
    </xf>
    <xf numFmtId="0" fontId="25" fillId="0" borderId="0" xfId="0" applyFont="1" applyFill="1" applyAlignment="1">
      <alignment vertical="center"/>
    </xf>
    <xf numFmtId="0" fontId="25" fillId="0" borderId="0" xfId="0" applyFont="1" applyAlignment="1">
      <alignment horizontal="left" vertical="center"/>
    </xf>
    <xf numFmtId="0" fontId="7" fillId="0" borderId="0" xfId="0" applyFont="1" applyProtection="1"/>
    <xf numFmtId="164" fontId="6" fillId="0" borderId="0" xfId="0" applyNumberFormat="1" applyFont="1" applyAlignment="1" applyProtection="1">
      <alignment horizontal="left"/>
    </xf>
    <xf numFmtId="0" fontId="0" fillId="0" borderId="0" xfId="0"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wrapText="1"/>
    </xf>
    <xf numFmtId="0" fontId="8" fillId="2" borderId="1" xfId="0" applyFont="1" applyFill="1" applyBorder="1" applyProtection="1"/>
    <xf numFmtId="165" fontId="8" fillId="2" borderId="1" xfId="1" applyNumberFormat="1" applyFont="1" applyFill="1" applyBorder="1" applyAlignment="1" applyProtection="1">
      <alignment horizontal="right" wrapText="1"/>
    </xf>
    <xf numFmtId="165" fontId="8" fillId="2" borderId="1" xfId="1" applyNumberFormat="1" applyFont="1" applyFill="1" applyBorder="1" applyAlignment="1" applyProtection="1">
      <alignment horizontal="center" wrapText="1"/>
    </xf>
    <xf numFmtId="0" fontId="9" fillId="0" borderId="1" xfId="0" applyFont="1" applyBorder="1" applyProtection="1"/>
    <xf numFmtId="170" fontId="42" fillId="8" borderId="1" xfId="14" applyNumberFormat="1" applyFont="1" applyBorder="1" applyAlignment="1" applyProtection="1">
      <alignment horizontal="right"/>
    </xf>
    <xf numFmtId="49" fontId="9" fillId="0" borderId="1" xfId="0" applyNumberFormat="1" applyFont="1" applyBorder="1" applyAlignment="1" applyProtection="1">
      <alignment horizontal="left"/>
    </xf>
    <xf numFmtId="165" fontId="10" fillId="0" borderId="1" xfId="1" applyNumberFormat="1" applyFont="1" applyBorder="1" applyAlignment="1" applyProtection="1">
      <alignment horizontal="center"/>
    </xf>
    <xf numFmtId="0" fontId="9" fillId="4" borderId="1" xfId="0" applyFont="1" applyFill="1" applyBorder="1" applyProtection="1"/>
    <xf numFmtId="0" fontId="11" fillId="5" borderId="1" xfId="0" applyFont="1" applyFill="1" applyBorder="1" applyProtection="1"/>
    <xf numFmtId="165" fontId="12" fillId="5" borderId="1" xfId="1" applyNumberFormat="1" applyFont="1" applyFill="1" applyBorder="1" applyProtection="1"/>
    <xf numFmtId="0" fontId="9" fillId="0" borderId="9" xfId="0" applyFont="1" applyBorder="1" applyProtection="1"/>
    <xf numFmtId="0" fontId="9" fillId="5" borderId="1" xfId="0" applyFont="1" applyFill="1" applyBorder="1" applyProtection="1"/>
    <xf numFmtId="165" fontId="10" fillId="5" borderId="1" xfId="1" applyNumberFormat="1" applyFont="1" applyFill="1" applyBorder="1" applyProtection="1"/>
    <xf numFmtId="165" fontId="0" fillId="0" borderId="0" xfId="0" applyNumberFormat="1" applyProtection="1"/>
    <xf numFmtId="0" fontId="40" fillId="0" borderId="1" xfId="0" applyFont="1" applyBorder="1" applyProtection="1"/>
    <xf numFmtId="165" fontId="28" fillId="0" borderId="1" xfId="1" applyNumberFormat="1" applyFont="1" applyBorder="1" applyProtection="1"/>
    <xf numFmtId="165" fontId="8" fillId="2" borderId="1" xfId="1" applyNumberFormat="1" applyFont="1" applyFill="1" applyBorder="1" applyAlignment="1" applyProtection="1">
      <alignment horizontal="center"/>
    </xf>
    <xf numFmtId="0" fontId="12" fillId="5" borderId="1" xfId="0" applyFont="1" applyFill="1" applyBorder="1" applyProtection="1"/>
    <xf numFmtId="0" fontId="19" fillId="0" borderId="0" xfId="0" applyFont="1" applyProtection="1"/>
    <xf numFmtId="165" fontId="8" fillId="2" borderId="1" xfId="1" applyNumberFormat="1" applyFont="1" applyFill="1" applyBorder="1" applyProtection="1"/>
    <xf numFmtId="0" fontId="51" fillId="0" borderId="11" xfId="0" applyFont="1" applyBorder="1" applyAlignment="1" applyProtection="1">
      <alignment horizontal="center" wrapText="1"/>
    </xf>
    <xf numFmtId="0" fontId="52" fillId="0" borderId="11" xfId="0" applyFont="1" applyBorder="1" applyAlignment="1" applyProtection="1">
      <alignment horizontal="center"/>
    </xf>
    <xf numFmtId="0" fontId="43" fillId="2" borderId="2" xfId="0" applyFont="1" applyFill="1" applyBorder="1" applyAlignment="1">
      <alignment horizontal="left"/>
    </xf>
    <xf numFmtId="0" fontId="43" fillId="2" borderId="3" xfId="0" applyFont="1" applyFill="1" applyBorder="1" applyAlignment="1">
      <alignment horizontal="left"/>
    </xf>
    <xf numFmtId="0" fontId="43" fillId="2" borderId="4" xfId="0" applyFont="1" applyFill="1" applyBorder="1" applyAlignment="1">
      <alignment horizontal="left"/>
    </xf>
    <xf numFmtId="0" fontId="7" fillId="4" borderId="0" xfId="6" applyFont="1" applyFill="1" applyAlignment="1">
      <alignment horizontal="center"/>
    </xf>
    <xf numFmtId="0" fontId="43" fillId="2" borderId="30" xfId="6" applyFont="1" applyFill="1" applyBorder="1" applyAlignment="1">
      <alignment horizontal="center" wrapText="1"/>
    </xf>
    <xf numFmtId="0" fontId="43" fillId="2" borderId="29" xfId="6" applyFont="1" applyFill="1" applyBorder="1" applyAlignment="1">
      <alignment horizontal="center" wrapText="1"/>
    </xf>
    <xf numFmtId="0" fontId="43" fillId="2" borderId="31" xfId="6" applyFont="1" applyFill="1" applyBorder="1" applyAlignment="1">
      <alignment horizontal="center" wrapText="1"/>
    </xf>
    <xf numFmtId="44" fontId="43" fillId="2" borderId="30" xfId="7" applyFont="1" applyFill="1" applyBorder="1" applyAlignment="1">
      <alignment horizontal="center" wrapText="1"/>
    </xf>
    <xf numFmtId="44" fontId="43" fillId="2" borderId="29" xfId="7" applyFont="1" applyFill="1" applyBorder="1" applyAlignment="1">
      <alignment horizontal="center" wrapText="1"/>
    </xf>
    <xf numFmtId="44" fontId="43" fillId="2" borderId="31" xfId="7" applyFont="1" applyFill="1" applyBorder="1" applyAlignment="1">
      <alignment horizontal="center" wrapText="1"/>
    </xf>
    <xf numFmtId="44" fontId="43" fillId="2" borderId="23" xfId="7" applyFont="1" applyFill="1" applyBorder="1" applyAlignment="1">
      <alignment horizontal="center" wrapText="1"/>
    </xf>
    <xf numFmtId="44" fontId="43" fillId="2" borderId="24" xfId="7" applyFont="1" applyFill="1" applyBorder="1" applyAlignment="1">
      <alignment horizontal="center" wrapText="1"/>
    </xf>
    <xf numFmtId="44" fontId="43" fillId="2" borderId="25" xfId="7" applyFont="1" applyFill="1" applyBorder="1" applyAlignment="1">
      <alignment horizontal="center" wrapText="1"/>
    </xf>
    <xf numFmtId="0" fontId="16" fillId="0" borderId="1" xfId="0" applyFont="1" applyBorder="1" applyAlignment="1">
      <alignment horizontal="left"/>
    </xf>
    <xf numFmtId="0" fontId="16" fillId="0" borderId="1" xfId="0" applyFont="1" applyBorder="1" applyAlignment="1">
      <alignment horizontal="left" wrapText="1"/>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7" fillId="0" borderId="0" xfId="0" applyFont="1" applyAlignment="1">
      <alignment horizontal="center" wrapText="1"/>
    </xf>
    <xf numFmtId="0" fontId="8" fillId="2" borderId="37" xfId="0" applyFont="1" applyFill="1" applyBorder="1" applyAlignment="1">
      <alignment horizontal="center"/>
    </xf>
    <xf numFmtId="0" fontId="8" fillId="2" borderId="21" xfId="0" applyFont="1" applyFill="1" applyBorder="1" applyAlignment="1">
      <alignment horizontal="center"/>
    </xf>
    <xf numFmtId="0" fontId="43" fillId="2" borderId="23" xfId="6" applyFont="1" applyFill="1" applyBorder="1" applyAlignment="1">
      <alignment horizontal="center" wrapText="1"/>
    </xf>
    <xf numFmtId="0" fontId="43" fillId="2" borderId="25" xfId="6" applyFont="1" applyFill="1" applyBorder="1" applyAlignment="1">
      <alignment horizontal="center" wrapText="1"/>
    </xf>
    <xf numFmtId="44" fontId="43" fillId="2" borderId="36" xfId="7" applyFont="1" applyFill="1" applyBorder="1" applyAlignment="1">
      <alignment horizontal="center" wrapText="1"/>
    </xf>
    <xf numFmtId="0" fontId="66" fillId="0" borderId="0" xfId="0" applyFont="1" applyAlignment="1">
      <alignment horizontal="center"/>
    </xf>
    <xf numFmtId="0" fontId="7" fillId="2" borderId="1" xfId="0" applyFont="1" applyFill="1" applyBorder="1" applyAlignment="1">
      <alignment horizontal="center"/>
    </xf>
    <xf numFmtId="0" fontId="6" fillId="0" borderId="0" xfId="0" applyFont="1" applyAlignment="1">
      <alignment horizontal="left" wrapText="1"/>
    </xf>
    <xf numFmtId="0" fontId="7" fillId="0" borderId="0" xfId="0" applyFont="1" applyAlignment="1"/>
    <xf numFmtId="0" fontId="6" fillId="0" borderId="0" xfId="0" applyFont="1" applyAlignment="1"/>
    <xf numFmtId="0" fontId="7" fillId="0" borderId="0" xfId="0" applyFont="1" applyAlignment="1">
      <alignment horizontal="left"/>
    </xf>
    <xf numFmtId="0" fontId="7" fillId="0" borderId="0" xfId="0" applyFont="1" applyAlignment="1">
      <alignment wrapText="1"/>
    </xf>
    <xf numFmtId="0" fontId="16" fillId="0" borderId="0" xfId="0" applyFont="1" applyAlignment="1">
      <alignment horizontal="left" vertical="center"/>
    </xf>
    <xf numFmtId="0" fontId="6" fillId="0" borderId="35" xfId="4" applyBorder="1" applyAlignment="1">
      <alignment horizontal="left" wrapText="1"/>
    </xf>
    <xf numFmtId="0" fontId="6" fillId="0" borderId="42" xfId="4" applyBorder="1" applyAlignment="1">
      <alignment horizontal="left" wrapText="1"/>
    </xf>
    <xf numFmtId="0" fontId="6" fillId="0" borderId="34" xfId="4" applyBorder="1" applyAlignment="1">
      <alignment horizontal="left" wrapText="1"/>
    </xf>
    <xf numFmtId="0" fontId="6" fillId="4" borderId="0" xfId="6" applyFill="1" applyAlignment="1">
      <alignment horizontal="left" vertical="center" wrapText="1"/>
    </xf>
    <xf numFmtId="0" fontId="73" fillId="0" borderId="0" xfId="0" applyFont="1" applyAlignment="1">
      <alignment horizontal="left" wrapText="1"/>
    </xf>
    <xf numFmtId="0" fontId="7" fillId="0" borderId="1" xfId="0" applyFont="1" applyBorder="1" applyAlignment="1">
      <alignment horizontal="center"/>
    </xf>
    <xf numFmtId="0" fontId="7" fillId="0" borderId="0" xfId="0" applyFont="1" applyBorder="1" applyAlignment="1"/>
    <xf numFmtId="0" fontId="6" fillId="0" borderId="0" xfId="0" applyFont="1" applyBorder="1" applyAlignment="1"/>
    <xf numFmtId="0" fontId="7" fillId="0" borderId="0" xfId="0" applyFont="1" applyBorder="1" applyAlignment="1">
      <alignment horizontal="left"/>
    </xf>
    <xf numFmtId="0" fontId="7" fillId="0" borderId="0" xfId="0" applyFont="1" applyBorder="1" applyAlignment="1">
      <alignment wrapText="1"/>
    </xf>
    <xf numFmtId="0" fontId="6" fillId="0" borderId="0" xfId="0" applyFont="1" applyAlignment="1">
      <alignment horizontal="left" vertical="top" wrapText="1"/>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60" fillId="0" borderId="0" xfId="0" applyFont="1" applyAlignment="1">
      <alignment horizontal="center"/>
    </xf>
    <xf numFmtId="0" fontId="16" fillId="0" borderId="8" xfId="0" applyFont="1" applyBorder="1" applyAlignment="1">
      <alignment horizontal="left" wrapText="1"/>
    </xf>
    <xf numFmtId="0" fontId="43" fillId="2" borderId="1" xfId="6" applyFont="1" applyFill="1" applyBorder="1" applyAlignment="1">
      <alignment horizontal="center" wrapText="1"/>
    </xf>
    <xf numFmtId="0" fontId="43" fillId="2" borderId="1" xfId="6" applyFont="1" applyFill="1" applyBorder="1" applyAlignment="1">
      <alignment horizontal="center"/>
    </xf>
    <xf numFmtId="44" fontId="43" fillId="2" borderId="1" xfId="7" applyFont="1" applyFill="1" applyBorder="1" applyAlignment="1">
      <alignment horizontal="center" wrapText="1"/>
    </xf>
    <xf numFmtId="0" fontId="43" fillId="2" borderId="1" xfId="7" applyNumberFormat="1" applyFont="1" applyFill="1" applyBorder="1" applyAlignment="1">
      <alignment horizontal="center" wrapText="1"/>
    </xf>
    <xf numFmtId="164" fontId="43" fillId="2" borderId="1" xfId="7" applyNumberFormat="1" applyFont="1" applyFill="1" applyBorder="1" applyAlignment="1">
      <alignment horizontal="center"/>
    </xf>
    <xf numFmtId="0" fontId="6" fillId="0" borderId="0" xfId="0" applyFont="1" applyFill="1" applyAlignment="1">
      <alignment horizontal="left" vertical="top" wrapText="1"/>
    </xf>
    <xf numFmtId="0" fontId="6" fillId="0" borderId="1" xfId="6" applyBorder="1" applyAlignment="1">
      <alignment horizontal="left"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7" fillId="0" borderId="2" xfId="6" applyFont="1" applyBorder="1" applyAlignment="1">
      <alignment horizontal="center"/>
    </xf>
    <xf numFmtId="0" fontId="7" fillId="0" borderId="3" xfId="6" applyFont="1" applyBorder="1" applyAlignment="1">
      <alignment horizontal="center"/>
    </xf>
    <xf numFmtId="0" fontId="7" fillId="0" borderId="4" xfId="6" applyFont="1" applyBorder="1" applyAlignment="1">
      <alignment horizontal="center"/>
    </xf>
    <xf numFmtId="0" fontId="6" fillId="4" borderId="0" xfId="6" applyFill="1" applyAlignment="1">
      <alignment horizontal="left" wrapText="1"/>
    </xf>
    <xf numFmtId="0" fontId="43" fillId="2" borderId="1" xfId="0" applyFont="1" applyFill="1" applyBorder="1" applyAlignment="1">
      <alignment horizontal="left"/>
    </xf>
    <xf numFmtId="0" fontId="7" fillId="5" borderId="1" xfId="0" applyFont="1" applyFill="1" applyBorder="1" applyAlignment="1">
      <alignment horizontal="left"/>
    </xf>
    <xf numFmtId="0" fontId="43" fillId="2" borderId="1" xfId="6" applyFont="1" applyFill="1" applyBorder="1" applyAlignment="1">
      <alignment horizontal="left" wrapText="1"/>
    </xf>
    <xf numFmtId="0" fontId="6" fillId="0" borderId="2" xfId="6" applyBorder="1" applyAlignment="1">
      <alignment horizontal="center" wrapText="1"/>
    </xf>
    <xf numFmtId="0" fontId="6" fillId="0" borderId="3" xfId="6" applyBorder="1" applyAlignment="1">
      <alignment horizontal="center" wrapText="1"/>
    </xf>
    <xf numFmtId="0" fontId="6" fillId="0" borderId="4" xfId="6" applyBorder="1" applyAlignment="1">
      <alignment horizontal="center" wrapText="1"/>
    </xf>
    <xf numFmtId="0" fontId="16" fillId="0" borderId="0" xfId="3" applyFont="1" applyAlignment="1">
      <alignment horizontal="center" vertical="center" wrapText="1"/>
    </xf>
    <xf numFmtId="0" fontId="53" fillId="2" borderId="1" xfId="0" applyFont="1" applyFill="1" applyBorder="1" applyAlignment="1">
      <alignment horizontal="center"/>
    </xf>
    <xf numFmtId="0" fontId="43" fillId="2" borderId="1" xfId="0" applyFont="1" applyFill="1" applyBorder="1" applyAlignment="1">
      <alignment horizontal="left" wrapText="1"/>
    </xf>
    <xf numFmtId="0" fontId="53" fillId="2" borderId="2" xfId="8" applyFont="1" applyFill="1" applyBorder="1" applyAlignment="1">
      <alignment horizontal="center"/>
    </xf>
    <xf numFmtId="0" fontId="53" fillId="2" borderId="3" xfId="8" applyFont="1" applyFill="1" applyBorder="1" applyAlignment="1">
      <alignment horizontal="center"/>
    </xf>
    <xf numFmtId="0" fontId="53" fillId="2" borderId="4" xfId="8" applyFont="1" applyFill="1" applyBorder="1" applyAlignment="1">
      <alignment horizontal="center"/>
    </xf>
    <xf numFmtId="0" fontId="53" fillId="2" borderId="1" xfId="8" applyFont="1" applyFill="1" applyBorder="1" applyAlignment="1">
      <alignment horizontal="center"/>
    </xf>
    <xf numFmtId="0" fontId="53" fillId="2" borderId="2" xfId="0" applyFont="1" applyFill="1" applyBorder="1" applyAlignment="1">
      <alignment horizontal="center"/>
    </xf>
    <xf numFmtId="0" fontId="77" fillId="0" borderId="0" xfId="0" applyFont="1" applyAlignment="1">
      <alignment horizontal="left" vertical="center" wrapText="1"/>
    </xf>
    <xf numFmtId="164" fontId="6" fillId="0" borderId="0" xfId="0" applyNumberFormat="1" applyFont="1" applyAlignment="1">
      <alignment horizontal="left"/>
    </xf>
    <xf numFmtId="0" fontId="14" fillId="0" borderId="0" xfId="0" applyFont="1" applyAlignment="1">
      <alignment horizontal="left" vertical="center"/>
    </xf>
    <xf numFmtId="0" fontId="76" fillId="0" borderId="0" xfId="0" applyFont="1" applyAlignment="1">
      <alignment horizontal="left" vertical="center"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0" fontId="43" fillId="2" borderId="2" xfId="0" applyFont="1" applyFill="1" applyBorder="1" applyAlignment="1">
      <alignment horizontal="center" wrapText="1"/>
    </xf>
    <xf numFmtId="0" fontId="43" fillId="2" borderId="3" xfId="0" applyFont="1" applyFill="1" applyBorder="1" applyAlignment="1">
      <alignment horizontal="center" wrapText="1"/>
    </xf>
    <xf numFmtId="0" fontId="43" fillId="2" borderId="4" xfId="0" applyFont="1" applyFill="1" applyBorder="1" applyAlignment="1">
      <alignment horizontal="center" wrapText="1"/>
    </xf>
    <xf numFmtId="44" fontId="6" fillId="0" borderId="0" xfId="12" applyFont="1" applyAlignment="1">
      <alignment horizontal="left" vertical="top" wrapText="1"/>
    </xf>
    <xf numFmtId="0" fontId="7" fillId="0" borderId="0" xfId="8" applyFont="1" applyAlignment="1"/>
    <xf numFmtId="1" fontId="6" fillId="0" borderId="0" xfId="0" applyNumberFormat="1" applyFont="1" applyAlignment="1">
      <alignment horizontal="left"/>
    </xf>
    <xf numFmtId="0" fontId="16" fillId="0" borderId="0" xfId="3" applyFont="1" applyAlignment="1">
      <alignment horizontal="left" wrapText="1"/>
    </xf>
    <xf numFmtId="0" fontId="16" fillId="0" borderId="0" xfId="3" applyFont="1" applyAlignment="1">
      <alignment horizontal="left" vertical="top" wrapText="1"/>
    </xf>
    <xf numFmtId="2" fontId="6" fillId="0" borderId="0" xfId="13" applyNumberFormat="1" applyFont="1" applyAlignment="1">
      <alignment horizontal="left" vertical="top" wrapText="1"/>
    </xf>
    <xf numFmtId="2" fontId="6" fillId="4" borderId="0" xfId="13" applyNumberFormat="1" applyFont="1" applyFill="1" applyAlignment="1">
      <alignment horizontal="left" vertical="top" wrapText="1"/>
    </xf>
    <xf numFmtId="0" fontId="16" fillId="0" borderId="0" xfId="0" applyFont="1" applyAlignment="1">
      <alignment horizontal="left" vertical="top" wrapText="1"/>
    </xf>
    <xf numFmtId="164" fontId="6" fillId="0" borderId="0" xfId="3" applyNumberFormat="1" applyFont="1" applyAlignment="1">
      <alignment horizontal="left"/>
    </xf>
    <xf numFmtId="0" fontId="7" fillId="0" borderId="0" xfId="3" applyFont="1" applyAlignment="1">
      <alignment horizontal="center"/>
    </xf>
    <xf numFmtId="0" fontId="6" fillId="0" borderId="0" xfId="3" applyFont="1" applyAlignment="1">
      <alignment horizontal="center" wrapText="1"/>
    </xf>
    <xf numFmtId="1" fontId="6" fillId="0" borderId="0" xfId="3" applyNumberFormat="1" applyFont="1" applyAlignment="1">
      <alignment horizontal="left"/>
    </xf>
    <xf numFmtId="0" fontId="6" fillId="0" borderId="0" xfId="3" applyFont="1" applyAlignment="1">
      <alignment horizontal="left"/>
    </xf>
    <xf numFmtId="0" fontId="46" fillId="0" borderId="0" xfId="4" applyFont="1" applyAlignment="1"/>
    <xf numFmtId="0" fontId="47" fillId="0" borderId="0" xfId="4" applyFont="1" applyAlignment="1"/>
    <xf numFmtId="0" fontId="46" fillId="0" borderId="0" xfId="8" applyFont="1" applyAlignment="1"/>
    <xf numFmtId="0" fontId="47" fillId="0" borderId="0" xfId="8" applyFont="1" applyAlignment="1"/>
    <xf numFmtId="0" fontId="43" fillId="2" borderId="35" xfId="0" applyFont="1" applyFill="1" applyBorder="1" applyAlignment="1">
      <alignment horizontal="left" wrapText="1"/>
    </xf>
    <xf numFmtId="0" fontId="43" fillId="2" borderId="42" xfId="0" applyFont="1" applyFill="1" applyBorder="1" applyAlignment="1">
      <alignment horizontal="left" wrapText="1"/>
    </xf>
    <xf numFmtId="0" fontId="43" fillId="2" borderId="34" xfId="0" applyFont="1" applyFill="1" applyBorder="1" applyAlignment="1">
      <alignment horizontal="left" wrapText="1"/>
    </xf>
    <xf numFmtId="0" fontId="6" fillId="0" borderId="43" xfId="4" applyBorder="1" applyAlignment="1">
      <alignment horizontal="left" wrapText="1"/>
    </xf>
    <xf numFmtId="0" fontId="6" fillId="0" borderId="44" xfId="4" applyBorder="1" applyAlignment="1">
      <alignment horizontal="left" wrapText="1"/>
    </xf>
    <xf numFmtId="0" fontId="6" fillId="0" borderId="41" xfId="4" applyBorder="1" applyAlignment="1">
      <alignment horizontal="left" wrapText="1"/>
    </xf>
    <xf numFmtId="0" fontId="6" fillId="0" borderId="39" xfId="4" applyBorder="1" applyAlignment="1">
      <alignment horizontal="left" wrapText="1"/>
    </xf>
    <xf numFmtId="0" fontId="6" fillId="0" borderId="51" xfId="4" applyBorder="1" applyAlignment="1">
      <alignment horizontal="left" wrapText="1"/>
    </xf>
    <xf numFmtId="0" fontId="16" fillId="0" borderId="52" xfId="0" applyFont="1" applyBorder="1" applyAlignment="1"/>
    <xf numFmtId="0" fontId="51" fillId="0" borderId="11" xfId="0" applyFont="1" applyBorder="1" applyAlignment="1">
      <alignment horizontal="center" wrapText="1"/>
    </xf>
  </cellXfs>
  <cellStyles count="16">
    <cellStyle name="Comma" xfId="9" builtinId="3"/>
    <cellStyle name="Currency" xfId="1" builtinId="4"/>
    <cellStyle name="Currency 2" xfId="7" xr:uid="{00000000-0005-0000-0000-000002000000}"/>
    <cellStyle name="Currency 5" xfId="12" xr:uid="{00000000-0005-0000-0000-000003000000}"/>
    <cellStyle name="Good" xfId="14" builtinId="26"/>
    <cellStyle name="Hyperlink" xfId="15" builtinId="8"/>
    <cellStyle name="Normal" xfId="0" builtinId="0"/>
    <cellStyle name="Normal 10" xfId="4" xr:uid="{00000000-0005-0000-0000-000007000000}"/>
    <cellStyle name="Normal 143" xfId="5" xr:uid="{00000000-0005-0000-0000-000008000000}"/>
    <cellStyle name="Normal 2" xfId="6" xr:uid="{00000000-0005-0000-0000-000009000000}"/>
    <cellStyle name="Normal 3 2 2" xfId="13" xr:uid="{00000000-0005-0000-0000-00000A000000}"/>
    <cellStyle name="Normal 36" xfId="3" xr:uid="{00000000-0005-0000-0000-00000B000000}"/>
    <cellStyle name="Normal 37" xfId="8" xr:uid="{00000000-0005-0000-0000-00000C000000}"/>
    <cellStyle name="Normal 38" xfId="11" xr:uid="{00000000-0005-0000-0000-00000D000000}"/>
    <cellStyle name="Percent" xfId="2" builtinId="5"/>
    <cellStyle name="Percent 2" xfId="10" xr:uid="{00000000-0005-0000-0000-00000F000000}"/>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5B9BD5"/>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2133600</xdr:colOff>
      <xdr:row>2</xdr:row>
      <xdr:rowOff>215505</xdr:rowOff>
    </xdr:to>
    <xdr:pic>
      <xdr:nvPicPr>
        <xdr:cNvPr id="2" name="Picture 1">
          <a:extLst>
            <a:ext uri="{FF2B5EF4-FFF2-40B4-BE49-F238E27FC236}">
              <a16:creationId xmlns:a16="http://schemas.microsoft.com/office/drawing/2014/main" id="{91B1BD2B-658A-4400-9A94-BF9A1D276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33600" cy="586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840105</xdr:colOff>
      <xdr:row>2</xdr:row>
      <xdr:rowOff>293012</xdr:rowOff>
    </xdr:to>
    <xdr:pic>
      <xdr:nvPicPr>
        <xdr:cNvPr id="2" name="Picture 1">
          <a:extLst>
            <a:ext uri="{FF2B5EF4-FFF2-40B4-BE49-F238E27FC236}">
              <a16:creationId xmlns:a16="http://schemas.microsoft.com/office/drawing/2014/main" id="{1D976FB2-DA63-4737-A426-5068445BF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492685</xdr:colOff>
      <xdr:row>2</xdr:row>
      <xdr:rowOff>233883</xdr:rowOff>
    </xdr:to>
    <xdr:pic>
      <xdr:nvPicPr>
        <xdr:cNvPr id="2" name="Picture 1">
          <a:extLst>
            <a:ext uri="{FF2B5EF4-FFF2-40B4-BE49-F238E27FC236}">
              <a16:creationId xmlns:a16="http://schemas.microsoft.com/office/drawing/2014/main" id="{E6FB06E9-EC53-4DB0-8D2C-BC6B1B03A6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3</xdr:row>
      <xdr:rowOff>1473</xdr:rowOff>
    </xdr:to>
    <xdr:pic>
      <xdr:nvPicPr>
        <xdr:cNvPr id="2" name="Picture 1">
          <a:extLst>
            <a:ext uri="{FF2B5EF4-FFF2-40B4-BE49-F238E27FC236}">
              <a16:creationId xmlns:a16="http://schemas.microsoft.com/office/drawing/2014/main" id="{14D84DD8-068D-4D62-9C46-4C678B375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14550" cy="5869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829608</xdr:colOff>
      <xdr:row>2</xdr:row>
      <xdr:rowOff>240233</xdr:rowOff>
    </xdr:to>
    <xdr:pic>
      <xdr:nvPicPr>
        <xdr:cNvPr id="2" name="Picture 1">
          <a:extLst>
            <a:ext uri="{FF2B5EF4-FFF2-40B4-BE49-F238E27FC236}">
              <a16:creationId xmlns:a16="http://schemas.microsoft.com/office/drawing/2014/main" id="{96CCB571-964A-4806-B51D-CD8CE34DE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818775</xdr:colOff>
      <xdr:row>3</xdr:row>
      <xdr:rowOff>5283</xdr:rowOff>
    </xdr:to>
    <xdr:pic>
      <xdr:nvPicPr>
        <xdr:cNvPr id="2" name="Picture 1">
          <a:extLst>
            <a:ext uri="{FF2B5EF4-FFF2-40B4-BE49-F238E27FC236}">
              <a16:creationId xmlns:a16="http://schemas.microsoft.com/office/drawing/2014/main" id="{7A46EF18-9149-4C6A-AC88-2EE0CF26E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7283</xdr:colOff>
      <xdr:row>2</xdr:row>
      <xdr:rowOff>237058</xdr:rowOff>
    </xdr:to>
    <xdr:pic>
      <xdr:nvPicPr>
        <xdr:cNvPr id="2" name="Picture 1">
          <a:extLst>
            <a:ext uri="{FF2B5EF4-FFF2-40B4-BE49-F238E27FC236}">
              <a16:creationId xmlns:a16="http://schemas.microsoft.com/office/drawing/2014/main" id="{BA0CDE46-364C-4D74-A57B-0D358933A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916305</xdr:colOff>
      <xdr:row>2</xdr:row>
      <xdr:rowOff>297106</xdr:rowOff>
    </xdr:to>
    <xdr:pic>
      <xdr:nvPicPr>
        <xdr:cNvPr id="4" name="Picture 3">
          <a:extLst>
            <a:ext uri="{FF2B5EF4-FFF2-40B4-BE49-F238E27FC236}">
              <a16:creationId xmlns:a16="http://schemas.microsoft.com/office/drawing/2014/main" id="{81264CBD-CBAE-4F30-B96F-DE48EF4B3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4108</xdr:colOff>
      <xdr:row>2</xdr:row>
      <xdr:rowOff>224358</xdr:rowOff>
    </xdr:to>
    <xdr:pic>
      <xdr:nvPicPr>
        <xdr:cNvPr id="2" name="Picture 1">
          <a:extLst>
            <a:ext uri="{FF2B5EF4-FFF2-40B4-BE49-F238E27FC236}">
              <a16:creationId xmlns:a16="http://schemas.microsoft.com/office/drawing/2014/main" id="{ACB5B0D1-4D69-44A5-978B-A72766B3A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2103755</xdr:colOff>
      <xdr:row>2</xdr:row>
      <xdr:rowOff>227183</xdr:rowOff>
    </xdr:to>
    <xdr:pic>
      <xdr:nvPicPr>
        <xdr:cNvPr id="3" name="Picture 2">
          <a:extLst>
            <a:ext uri="{FF2B5EF4-FFF2-40B4-BE49-F238E27FC236}">
              <a16:creationId xmlns:a16="http://schemas.microsoft.com/office/drawing/2014/main" id="{028308EF-7E2E-44A7-ABF4-675C4DF31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0270" cy="56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0</xdr:col>
      <xdr:colOff>2144447</xdr:colOff>
      <xdr:row>3</xdr:row>
      <xdr:rowOff>9338</xdr:rowOff>
    </xdr:to>
    <xdr:pic>
      <xdr:nvPicPr>
        <xdr:cNvPr id="2" name="Picture 1">
          <a:extLst>
            <a:ext uri="{FF2B5EF4-FFF2-40B4-BE49-F238E27FC236}">
              <a16:creationId xmlns:a16="http://schemas.microsoft.com/office/drawing/2014/main" id="{A87671C0-71C4-4169-8AEC-EE41B9EF666E}"/>
            </a:ext>
          </a:extLst>
        </xdr:cNvPr>
        <xdr:cNvPicPr>
          <a:picLocks noChangeAspect="1"/>
        </xdr:cNvPicPr>
      </xdr:nvPicPr>
      <xdr:blipFill>
        <a:blip xmlns:r="http://schemas.openxmlformats.org/officeDocument/2006/relationships" r:embed="rId1"/>
        <a:stretch>
          <a:fillRect/>
        </a:stretch>
      </xdr:blipFill>
      <xdr:spPr>
        <a:xfrm>
          <a:off x="83820" y="0"/>
          <a:ext cx="2060627" cy="545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2</xdr:row>
      <xdr:rowOff>170385</xdr:rowOff>
    </xdr:to>
    <xdr:pic>
      <xdr:nvPicPr>
        <xdr:cNvPr id="2" name="Picture 1">
          <a:extLst>
            <a:ext uri="{FF2B5EF4-FFF2-40B4-BE49-F238E27FC236}">
              <a16:creationId xmlns:a16="http://schemas.microsoft.com/office/drawing/2014/main" id="{22E0A0C5-E562-4E87-A412-0C94BDEDA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5596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114524</xdr:colOff>
      <xdr:row>2</xdr:row>
      <xdr:rowOff>306833</xdr:rowOff>
    </xdr:to>
    <xdr:pic>
      <xdr:nvPicPr>
        <xdr:cNvPr id="2" name="Picture 1">
          <a:extLst>
            <a:ext uri="{FF2B5EF4-FFF2-40B4-BE49-F238E27FC236}">
              <a16:creationId xmlns:a16="http://schemas.microsoft.com/office/drawing/2014/main" id="{FB809213-0F04-4E60-9A3E-70F8CB48C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5869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2154555</xdr:colOff>
      <xdr:row>2</xdr:row>
      <xdr:rowOff>240905</xdr:rowOff>
    </xdr:to>
    <xdr:pic>
      <xdr:nvPicPr>
        <xdr:cNvPr id="2" name="Picture 1">
          <a:extLst>
            <a:ext uri="{FF2B5EF4-FFF2-40B4-BE49-F238E27FC236}">
              <a16:creationId xmlns:a16="http://schemas.microsoft.com/office/drawing/2014/main" id="{207723AF-4362-48BD-B3B5-A6589AE0A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717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2060627</xdr:colOff>
      <xdr:row>2</xdr:row>
      <xdr:rowOff>179881</xdr:rowOff>
    </xdr:to>
    <xdr:pic>
      <xdr:nvPicPr>
        <xdr:cNvPr id="3" name="Picture 2">
          <a:extLst>
            <a:ext uri="{FF2B5EF4-FFF2-40B4-BE49-F238E27FC236}">
              <a16:creationId xmlns:a16="http://schemas.microsoft.com/office/drawing/2014/main" id="{98DF0E14-094D-4780-93C0-D0B9CF1107B9}"/>
            </a:ext>
          </a:extLst>
        </xdr:cNvPr>
        <xdr:cNvPicPr>
          <a:picLocks noChangeAspect="1"/>
        </xdr:cNvPicPr>
      </xdr:nvPicPr>
      <xdr:blipFill>
        <a:blip xmlns:r="http://schemas.openxmlformats.org/officeDocument/2006/relationships" r:embed="rId1"/>
        <a:stretch>
          <a:fillRect/>
        </a:stretch>
      </xdr:blipFill>
      <xdr:spPr>
        <a:xfrm>
          <a:off x="0" y="0"/>
          <a:ext cx="2060627" cy="5608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2114550</xdr:colOff>
      <xdr:row>2</xdr:row>
      <xdr:rowOff>240905</xdr:rowOff>
    </xdr:to>
    <xdr:pic>
      <xdr:nvPicPr>
        <xdr:cNvPr id="3" name="Picture 2">
          <a:extLst>
            <a:ext uri="{FF2B5EF4-FFF2-40B4-BE49-F238E27FC236}">
              <a16:creationId xmlns:a16="http://schemas.microsoft.com/office/drawing/2014/main" id="{01F70CEC-B7EF-4B4C-ABF0-F59AB6DFC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2140527</xdr:colOff>
      <xdr:row>3</xdr:row>
      <xdr:rowOff>31355</xdr:rowOff>
    </xdr:to>
    <xdr:pic>
      <xdr:nvPicPr>
        <xdr:cNvPr id="2" name="Picture 1">
          <a:extLst>
            <a:ext uri="{FF2B5EF4-FFF2-40B4-BE49-F238E27FC236}">
              <a16:creationId xmlns:a16="http://schemas.microsoft.com/office/drawing/2014/main" id="{C79ED3E6-5FC9-45B1-87BF-D95FB4F36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33600" cy="574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m(H17:H1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dws.state.nm.us/Portals/0/DM/LaborRelations/Prevailing_Wage_Poster_H_2019_final.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H49"/>
  <sheetViews>
    <sheetView view="pageBreakPreview" zoomScale="80" zoomScaleNormal="70" zoomScaleSheetLayoutView="80" workbookViewId="0">
      <selection activeCell="G16" sqref="G16"/>
    </sheetView>
  </sheetViews>
  <sheetFormatPr defaultRowHeight="14.5" x14ac:dyDescent="0.35"/>
  <cols>
    <col min="1" max="1" width="56.26953125" customWidth="1"/>
    <col min="2" max="2" width="31.54296875" customWidth="1"/>
    <col min="4" max="4" width="32.54296875" customWidth="1"/>
    <col min="5" max="5" width="22.7265625" customWidth="1"/>
    <col min="6" max="6" width="13.54296875" customWidth="1"/>
    <col min="7" max="7" width="23.26953125" customWidth="1"/>
    <col min="8" max="8" width="21.7265625" customWidth="1"/>
  </cols>
  <sheetData>
    <row r="1" spans="1:8" x14ac:dyDescent="0.35">
      <c r="A1" s="1"/>
      <c r="B1" s="2"/>
    </row>
    <row r="2" spans="1:8" x14ac:dyDescent="0.35">
      <c r="A2" s="1"/>
      <c r="B2" s="2"/>
    </row>
    <row r="3" spans="1:8" ht="21" customHeight="1" x14ac:dyDescent="0.35">
      <c r="A3" s="3"/>
      <c r="B3" s="271" t="s">
        <v>0</v>
      </c>
    </row>
    <row r="4" spans="1:8" x14ac:dyDescent="0.35">
      <c r="A4" s="633" t="s">
        <v>1</v>
      </c>
      <c r="B4" s="634" t="s">
        <v>694</v>
      </c>
      <c r="C4" s="635"/>
      <c r="D4" s="635"/>
      <c r="E4" s="635"/>
      <c r="F4" s="635"/>
      <c r="G4" s="635"/>
      <c r="H4" s="635"/>
    </row>
    <row r="5" spans="1:8" x14ac:dyDescent="0.35">
      <c r="A5" s="636" t="s">
        <v>2</v>
      </c>
      <c r="B5" s="637">
        <v>18106417</v>
      </c>
      <c r="C5" s="635"/>
      <c r="D5" s="635"/>
      <c r="E5" s="635"/>
      <c r="F5" s="635"/>
      <c r="G5" s="635"/>
      <c r="H5" s="635"/>
    </row>
    <row r="6" spans="1:8" x14ac:dyDescent="0.35">
      <c r="A6" s="636" t="s">
        <v>3</v>
      </c>
      <c r="B6" s="637" t="s">
        <v>4</v>
      </c>
      <c r="C6" s="635"/>
      <c r="D6" s="635"/>
      <c r="E6" s="635"/>
      <c r="F6" s="635"/>
      <c r="G6" s="635"/>
      <c r="H6" s="635"/>
    </row>
    <row r="7" spans="1:8" x14ac:dyDescent="0.35">
      <c r="A7" s="638" t="s">
        <v>5</v>
      </c>
      <c r="B7" s="637" t="s">
        <v>6</v>
      </c>
      <c r="C7" s="635"/>
      <c r="D7" s="635"/>
      <c r="E7" s="635"/>
      <c r="F7" s="635"/>
      <c r="G7" s="635"/>
      <c r="H7" s="635"/>
    </row>
    <row r="8" spans="1:8" x14ac:dyDescent="0.35">
      <c r="A8" s="638"/>
      <c r="B8" s="637"/>
      <c r="C8" s="635"/>
      <c r="D8" s="635"/>
      <c r="E8" s="635"/>
      <c r="F8" s="635"/>
      <c r="G8" s="635"/>
      <c r="H8" s="635"/>
    </row>
    <row r="9" spans="1:8" ht="23" x14ac:dyDescent="0.5">
      <c r="A9" s="659" t="s">
        <v>7</v>
      </c>
      <c r="B9" s="659"/>
      <c r="C9" s="635"/>
      <c r="D9" s="660" t="s">
        <v>8</v>
      </c>
      <c r="E9" s="660"/>
      <c r="F9" s="660"/>
      <c r="G9" s="660"/>
      <c r="H9" s="660"/>
    </row>
    <row r="10" spans="1:8" x14ac:dyDescent="0.35">
      <c r="A10" s="639" t="s">
        <v>9</v>
      </c>
      <c r="B10" s="640" t="s">
        <v>10</v>
      </c>
      <c r="C10" s="635"/>
      <c r="D10" s="639" t="s">
        <v>11</v>
      </c>
      <c r="E10" s="641" t="s">
        <v>12</v>
      </c>
      <c r="F10" s="641" t="s">
        <v>13</v>
      </c>
      <c r="G10" s="641" t="s">
        <v>14</v>
      </c>
      <c r="H10" s="641" t="s">
        <v>15</v>
      </c>
    </row>
    <row r="11" spans="1:8" ht="15.75" customHeight="1" x14ac:dyDescent="0.35">
      <c r="A11" s="642" t="s">
        <v>16</v>
      </c>
      <c r="B11" s="643">
        <v>0.3</v>
      </c>
      <c r="C11" s="635"/>
      <c r="D11" s="644" t="s">
        <v>16</v>
      </c>
      <c r="E11" s="645">
        <f>SUM('Short Term ETS Cash Flow 2019'!C111,'Long Term ETS Cash Flow 2019'!C111,'Salt Disposal Cash Flow 2019'!C110,'Water Conveyance Cash Flow 2019'!C110,'Sludge Disposal Cash Flow 2019'!C110,'TTS Cash Flow'!B111)</f>
        <v>11913245.168297332</v>
      </c>
      <c r="F11" s="643">
        <v>0.3</v>
      </c>
      <c r="G11" s="645">
        <f>E11*F11</f>
        <v>3573973.5504891993</v>
      </c>
      <c r="H11" s="645">
        <f>SUM(G11,E11)</f>
        <v>15487218.71878653</v>
      </c>
    </row>
    <row r="12" spans="1:8" ht="15.75" customHeight="1" x14ac:dyDescent="0.35">
      <c r="A12" s="642" t="s">
        <v>17</v>
      </c>
      <c r="B12" s="643">
        <v>0.17499999999999999</v>
      </c>
      <c r="C12" s="635"/>
      <c r="D12" s="642" t="s">
        <v>18</v>
      </c>
      <c r="E12" s="645">
        <f>SUM('TTS Cash Flow'!F111:I111)</f>
        <v>93195668.307287976</v>
      </c>
      <c r="F12" s="643">
        <v>0.17499999999999999</v>
      </c>
      <c r="G12" s="645">
        <f t="shared" ref="G12:G17" si="0">E12*F12</f>
        <v>16309241.953775395</v>
      </c>
      <c r="H12" s="645">
        <f t="shared" ref="H12:H17" si="1">SUM(G12,E12)</f>
        <v>109504910.26106337</v>
      </c>
    </row>
    <row r="13" spans="1:8" x14ac:dyDescent="0.35">
      <c r="A13" s="639" t="s">
        <v>19</v>
      </c>
      <c r="B13" s="640" t="s">
        <v>20</v>
      </c>
      <c r="C13" s="635"/>
      <c r="D13" s="642" t="s">
        <v>21</v>
      </c>
      <c r="E13" s="645">
        <f>SUM('TTS Cash Flow'!J111)</f>
        <v>1881204</v>
      </c>
      <c r="F13" s="643">
        <v>0.17499999999999999</v>
      </c>
      <c r="G13" s="645">
        <f t="shared" si="0"/>
        <v>329210.69999999995</v>
      </c>
      <c r="H13" s="645">
        <f t="shared" si="1"/>
        <v>2210414.7000000002</v>
      </c>
    </row>
    <row r="14" spans="1:8" x14ac:dyDescent="0.35">
      <c r="A14" s="642" t="s">
        <v>22</v>
      </c>
      <c r="B14" s="645">
        <f>'2019 CCP Cash Flow'!B112</f>
        <v>1331300</v>
      </c>
      <c r="C14" s="635"/>
      <c r="D14" s="642" t="s">
        <v>23</v>
      </c>
      <c r="E14" s="645">
        <f>SUM('Short Term ETS Cash Flow 2019'!H111,'Long Term ETS Cash Flow 2019'!M111,'Water Conveyance Cash Flow 2019'!J110,'TTS Cash Flow'!K111)</f>
        <v>36467276.687419042</v>
      </c>
      <c r="F14" s="643">
        <v>0.17499999999999999</v>
      </c>
      <c r="G14" s="645">
        <f t="shared" si="0"/>
        <v>6381773.4202983323</v>
      </c>
      <c r="H14" s="645">
        <f t="shared" si="1"/>
        <v>42849050.107717372</v>
      </c>
    </row>
    <row r="15" spans="1:8" x14ac:dyDescent="0.35">
      <c r="A15" s="642" t="s">
        <v>24</v>
      </c>
      <c r="B15" s="645">
        <f>'2019 CCP Cash Flow'!E112</f>
        <v>1257312</v>
      </c>
      <c r="C15" s="635"/>
      <c r="D15" s="642" t="s">
        <v>25</v>
      </c>
      <c r="E15" s="645">
        <f>SUM('Long Term ETS Cash Flow 2019'!D111:F111,'Salt Disposal Cash Flow 2019'!D110,'Water Conveyance Cash Flow 2019'!D110:E110,'Sludge Disposal Cash Flow 2019'!D110,'TTS Cash Flow'!D111)</f>
        <v>16821399.12950296</v>
      </c>
      <c r="F15" s="643">
        <v>0.17499999999999999</v>
      </c>
      <c r="G15" s="645">
        <f t="shared" si="0"/>
        <v>2943744.8476630179</v>
      </c>
      <c r="H15" s="645">
        <f t="shared" si="1"/>
        <v>19765143.977165978</v>
      </c>
    </row>
    <row r="16" spans="1:8" ht="17" x14ac:dyDescent="0.35">
      <c r="A16" s="646" t="s">
        <v>26</v>
      </c>
      <c r="B16" s="645">
        <f>'2019 CCP Cash Flow'!H112</f>
        <v>7232445.0002545901</v>
      </c>
      <c r="C16" s="635"/>
      <c r="D16" s="642" t="s">
        <v>27</v>
      </c>
      <c r="E16" s="645">
        <f>SUM('Short Term ETS Cash Flow 2019'!E111,'Long Term ETS Cash Flow 2019'!G111:I111,'Water Conveyance Cash Flow 2019'!F110:G110,'TTS Cash Flow'!E111)</f>
        <v>15411864.366390418</v>
      </c>
      <c r="F16" s="643">
        <v>0.17499999999999999</v>
      </c>
      <c r="G16" s="645">
        <f t="shared" si="0"/>
        <v>2697076.2641183231</v>
      </c>
      <c r="H16" s="645">
        <f t="shared" si="1"/>
        <v>18108940.630508743</v>
      </c>
    </row>
    <row r="17" spans="1:8" x14ac:dyDescent="0.35">
      <c r="A17" s="642" t="s">
        <v>28</v>
      </c>
      <c r="B17" s="645">
        <f>'2019 CCP Cash Flow'!K112</f>
        <v>959861</v>
      </c>
      <c r="C17" s="635"/>
      <c r="D17" s="642" t="s">
        <v>29</v>
      </c>
      <c r="E17" s="645">
        <f>SUM('Short Term ETS Cash Flow 2019'!F111,'TTS Cash Flow'!C111)+'Salt Disposal Cash Flow 2019'!H110-'Salt Disposal Cash Flow 2019'!C110-'Salt Disposal Cash Flow 2019'!D110+'Sludge Disposal Cash Flow 2019'!H110-'Sludge Disposal Cash Flow 2019'!D110-'Sludge Disposal Cash Flow 2019'!C110</f>
        <v>100154135.28598346</v>
      </c>
      <c r="F17" s="643">
        <v>0.17499999999999999</v>
      </c>
      <c r="G17" s="645">
        <f t="shared" si="0"/>
        <v>17526973.675047103</v>
      </c>
      <c r="H17" s="645">
        <f t="shared" si="1"/>
        <v>117681108.96103056</v>
      </c>
    </row>
    <row r="18" spans="1:8" x14ac:dyDescent="0.35">
      <c r="A18" s="642" t="s">
        <v>30</v>
      </c>
      <c r="B18" s="645">
        <f>'2019 CCP Cash Flow'!N112</f>
        <v>142304.81804274194</v>
      </c>
      <c r="C18" s="635"/>
      <c r="D18" s="647" t="s">
        <v>31</v>
      </c>
      <c r="E18" s="648">
        <f>SUM(E11:E17)</f>
        <v>275844792.94488114</v>
      </c>
      <c r="F18" s="648"/>
      <c r="G18" s="648">
        <f>SUM(G11:G17)</f>
        <v>49761994.411391377</v>
      </c>
      <c r="H18" s="648">
        <f>SUM(H11:H17)</f>
        <v>325606787.35627258</v>
      </c>
    </row>
    <row r="19" spans="1:8" x14ac:dyDescent="0.35">
      <c r="A19" s="642" t="s">
        <v>32</v>
      </c>
      <c r="B19" s="645">
        <f>'2019 CCP Cash Flow'!P112</f>
        <v>990022.35</v>
      </c>
      <c r="C19" s="635"/>
      <c r="D19" s="649"/>
      <c r="E19" s="635"/>
      <c r="F19" s="635"/>
      <c r="G19" s="635"/>
      <c r="H19" s="635"/>
    </row>
    <row r="20" spans="1:8" x14ac:dyDescent="0.35">
      <c r="A20" s="650" t="s">
        <v>33</v>
      </c>
      <c r="B20" s="651">
        <f>SUM(B14:B19)</f>
        <v>11913245.168297332</v>
      </c>
      <c r="C20" s="635"/>
      <c r="D20" s="635"/>
      <c r="E20" s="652"/>
      <c r="F20" s="635"/>
      <c r="G20" s="635"/>
      <c r="H20" s="635"/>
    </row>
    <row r="21" spans="1:8" x14ac:dyDescent="0.35">
      <c r="A21" s="653" t="s">
        <v>34</v>
      </c>
      <c r="B21" s="654">
        <f>B20*B11</f>
        <v>3573973.5504891993</v>
      </c>
      <c r="C21" s="635"/>
      <c r="D21" s="635"/>
      <c r="E21" s="652"/>
      <c r="F21" s="635"/>
      <c r="G21" s="635"/>
      <c r="H21" s="635"/>
    </row>
    <row r="22" spans="1:8" x14ac:dyDescent="0.35">
      <c r="A22" s="647" t="s">
        <v>31</v>
      </c>
      <c r="B22" s="648">
        <f>SUM(B20:B21)</f>
        <v>15487218.71878653</v>
      </c>
      <c r="C22" s="635"/>
      <c r="D22" s="635"/>
      <c r="E22" s="635"/>
      <c r="F22" s="635"/>
      <c r="G22" s="635"/>
      <c r="H22" s="635"/>
    </row>
    <row r="23" spans="1:8" x14ac:dyDescent="0.35">
      <c r="A23" s="639" t="s">
        <v>35</v>
      </c>
      <c r="B23" s="655"/>
      <c r="C23" s="635"/>
      <c r="D23" s="635"/>
      <c r="E23" s="635"/>
      <c r="F23" s="635"/>
      <c r="G23" s="635"/>
      <c r="H23" s="635"/>
    </row>
    <row r="24" spans="1:8" x14ac:dyDescent="0.35">
      <c r="A24" s="642" t="s">
        <v>36</v>
      </c>
      <c r="B24" s="645">
        <f>'Short Term ETS Cash Flow 2019'!H111</f>
        <v>17063018.544309072</v>
      </c>
      <c r="C24" s="635"/>
      <c r="D24" s="635"/>
      <c r="E24" s="652"/>
      <c r="F24" s="635"/>
      <c r="G24" s="635"/>
      <c r="H24" s="635"/>
    </row>
    <row r="25" spans="1:8" x14ac:dyDescent="0.35">
      <c r="A25" s="642" t="s">
        <v>24</v>
      </c>
      <c r="B25" s="645">
        <f>'Long Term ETS Cash Flow 2019'!M111</f>
        <v>7559078.6870805928</v>
      </c>
      <c r="C25" s="635"/>
      <c r="D25" s="635"/>
      <c r="E25" s="635"/>
      <c r="F25" s="635"/>
      <c r="G25" s="635"/>
      <c r="H25" s="635"/>
    </row>
    <row r="26" spans="1:8" x14ac:dyDescent="0.35">
      <c r="A26" s="646" t="s">
        <v>26</v>
      </c>
      <c r="B26" s="645">
        <f>SUM('TTS Cash Flow'!F111:K111)</f>
        <v>100303735.66071582</v>
      </c>
      <c r="C26" s="635"/>
      <c r="D26" s="635"/>
      <c r="E26" s="635"/>
      <c r="F26" s="635"/>
      <c r="G26" s="635"/>
      <c r="H26" s="635"/>
    </row>
    <row r="27" spans="1:8" x14ac:dyDescent="0.35">
      <c r="A27" s="642" t="s">
        <v>28</v>
      </c>
      <c r="B27" s="645">
        <f>'Water Conveyance Cash Flow 2019'!J110</f>
        <v>6618316.1026015282</v>
      </c>
      <c r="C27" s="635"/>
      <c r="D27" s="635"/>
      <c r="E27" s="635"/>
      <c r="F27" s="635"/>
      <c r="G27" s="635"/>
      <c r="H27" s="635"/>
    </row>
    <row r="28" spans="1:8" x14ac:dyDescent="0.35">
      <c r="A28" s="642" t="s">
        <v>30</v>
      </c>
      <c r="B28" s="645">
        <v>0</v>
      </c>
      <c r="C28" s="635"/>
      <c r="D28" s="635"/>
      <c r="E28" s="635"/>
      <c r="F28" s="635"/>
      <c r="G28" s="635"/>
      <c r="H28" s="635"/>
    </row>
    <row r="29" spans="1:8" x14ac:dyDescent="0.35">
      <c r="A29" s="642" t="s">
        <v>32</v>
      </c>
      <c r="B29" s="645">
        <v>0</v>
      </c>
      <c r="C29" s="635"/>
      <c r="D29" s="635"/>
      <c r="E29" s="652"/>
      <c r="F29" s="635"/>
      <c r="G29" s="635"/>
      <c r="H29" s="635"/>
    </row>
    <row r="30" spans="1:8" x14ac:dyDescent="0.35">
      <c r="A30" s="650" t="s">
        <v>37</v>
      </c>
      <c r="B30" s="651">
        <f>SUM(B24:B29)</f>
        <v>131544148.99470702</v>
      </c>
      <c r="C30" s="635"/>
      <c r="D30" s="635"/>
      <c r="E30" s="635"/>
      <c r="F30" s="635"/>
      <c r="G30" s="635"/>
      <c r="H30" s="635"/>
    </row>
    <row r="31" spans="1:8" x14ac:dyDescent="0.35">
      <c r="A31" s="653" t="s">
        <v>38</v>
      </c>
      <c r="B31" s="654">
        <f>B30*B12</f>
        <v>23020226.074073728</v>
      </c>
      <c r="C31" s="635"/>
      <c r="D31" s="635"/>
      <c r="E31" s="635"/>
      <c r="F31" s="635"/>
      <c r="G31" s="635"/>
      <c r="H31" s="635"/>
    </row>
    <row r="32" spans="1:8" x14ac:dyDescent="0.35">
      <c r="A32" s="656" t="s">
        <v>39</v>
      </c>
      <c r="B32" s="648">
        <f>SUM(B30:B31)</f>
        <v>154564375.06878075</v>
      </c>
      <c r="C32" s="635"/>
      <c r="D32" s="635"/>
      <c r="E32" s="652"/>
      <c r="F32" s="635"/>
      <c r="G32" s="635"/>
      <c r="H32" s="635"/>
    </row>
    <row r="33" spans="1:8" x14ac:dyDescent="0.35">
      <c r="A33" s="639" t="s">
        <v>40</v>
      </c>
      <c r="B33" s="655"/>
      <c r="C33" s="635"/>
      <c r="D33" s="657"/>
      <c r="E33" s="635"/>
      <c r="F33" s="635"/>
      <c r="G33" s="635"/>
      <c r="H33" s="635"/>
    </row>
    <row r="34" spans="1:8" x14ac:dyDescent="0.35">
      <c r="A34" s="642" t="s">
        <v>36</v>
      </c>
      <c r="B34" s="645">
        <f>SUM('Short Term ETS Cash Flow 2019'!E111:F111)</f>
        <v>1336899.1725000001</v>
      </c>
      <c r="C34" s="635"/>
      <c r="D34" s="635"/>
      <c r="E34" s="635"/>
      <c r="F34" s="635"/>
      <c r="G34" s="635"/>
      <c r="H34" s="635"/>
    </row>
    <row r="35" spans="1:8" x14ac:dyDescent="0.35">
      <c r="A35" s="642" t="s">
        <v>24</v>
      </c>
      <c r="B35" s="645">
        <f>SUM('Long Term ETS Cash Flow 2019'!D111:I111)</f>
        <v>6351324.2173755802</v>
      </c>
      <c r="C35" s="635"/>
      <c r="D35" s="652"/>
      <c r="E35" s="635"/>
      <c r="F35" s="635"/>
      <c r="G35" s="635"/>
      <c r="H35" s="635"/>
    </row>
    <row r="36" spans="1:8" x14ac:dyDescent="0.35">
      <c r="A36" s="642" t="s">
        <v>26</v>
      </c>
      <c r="B36" s="645">
        <f>SUM('TTS Cash Flow'!C111:E111)</f>
        <v>105570872.27065682</v>
      </c>
      <c r="C36" s="635"/>
      <c r="D36" s="635"/>
      <c r="E36" s="635"/>
      <c r="F36" s="635"/>
      <c r="G36" s="635"/>
      <c r="H36" s="635"/>
    </row>
    <row r="37" spans="1:8" x14ac:dyDescent="0.35">
      <c r="A37" s="642" t="s">
        <v>28</v>
      </c>
      <c r="B37" s="645">
        <f>SUM('Water Conveyance Cash Flow 2019'!D110:G110)</f>
        <v>6633702.3779607927</v>
      </c>
      <c r="C37" s="635"/>
      <c r="D37" s="635"/>
      <c r="E37" s="635"/>
      <c r="F37" s="635"/>
      <c r="G37" s="635"/>
      <c r="H37" s="635"/>
    </row>
    <row r="38" spans="1:8" x14ac:dyDescent="0.35">
      <c r="A38" s="642" t="s">
        <v>30</v>
      </c>
      <c r="B38" s="645">
        <f>'Sludge Disposal Cash Flow 2019'!H110-'Sludge Disposal Cash Flow 2019'!C110</f>
        <v>5142345.7834538072</v>
      </c>
      <c r="C38" s="635"/>
      <c r="D38" s="635"/>
      <c r="E38" s="635"/>
      <c r="F38" s="635"/>
      <c r="G38" s="635"/>
      <c r="H38" s="635"/>
    </row>
    <row r="39" spans="1:8" x14ac:dyDescent="0.35">
      <c r="A39" s="642" t="s">
        <v>32</v>
      </c>
      <c r="B39" s="645">
        <f>'Salt Disposal Cash Flow 2019'!H110-'Salt Disposal Cash Flow 2019'!C110</f>
        <v>7352254.9599298267</v>
      </c>
      <c r="C39" s="635"/>
      <c r="D39" s="635"/>
      <c r="E39" s="635"/>
      <c r="F39" s="635"/>
      <c r="G39" s="635"/>
      <c r="H39" s="635"/>
    </row>
    <row r="40" spans="1:8" x14ac:dyDescent="0.35">
      <c r="A40" s="650" t="s">
        <v>691</v>
      </c>
      <c r="B40" s="651">
        <f>SUM(B34:B39)</f>
        <v>132387398.78187682</v>
      </c>
      <c r="C40" s="635"/>
      <c r="D40" s="635"/>
      <c r="E40" s="635"/>
      <c r="F40" s="635"/>
      <c r="G40" s="635"/>
      <c r="H40" s="635"/>
    </row>
    <row r="41" spans="1:8" x14ac:dyDescent="0.35">
      <c r="A41" s="653" t="s">
        <v>692</v>
      </c>
      <c r="B41" s="654">
        <f>B40*B12</f>
        <v>23167794.786828443</v>
      </c>
      <c r="C41" s="635"/>
      <c r="D41" s="635"/>
      <c r="E41" s="635"/>
      <c r="F41" s="635"/>
      <c r="G41" s="635"/>
      <c r="H41" s="635"/>
    </row>
    <row r="42" spans="1:8" x14ac:dyDescent="0.35">
      <c r="A42" s="656" t="s">
        <v>43</v>
      </c>
      <c r="B42" s="648">
        <f>SUM(B40:B41)</f>
        <v>155555193.56870526</v>
      </c>
      <c r="C42" s="635"/>
      <c r="D42" s="635"/>
      <c r="E42" s="635"/>
      <c r="F42" s="635"/>
      <c r="G42" s="635"/>
      <c r="H42" s="635"/>
    </row>
    <row r="43" spans="1:8" x14ac:dyDescent="0.35">
      <c r="A43" s="639" t="s">
        <v>44</v>
      </c>
      <c r="B43" s="658">
        <f>SUM(B42,B32)</f>
        <v>310119568.63748598</v>
      </c>
      <c r="C43" s="635"/>
      <c r="D43" s="635"/>
      <c r="E43" s="635"/>
      <c r="F43" s="635"/>
      <c r="G43" s="635"/>
      <c r="H43" s="635"/>
    </row>
    <row r="44" spans="1:8" x14ac:dyDescent="0.35">
      <c r="A44" s="656" t="s">
        <v>45</v>
      </c>
      <c r="B44" s="648">
        <f>+B22+B43</f>
        <v>325606787.35627252</v>
      </c>
      <c r="C44" s="635"/>
      <c r="D44" s="635"/>
      <c r="E44" s="635"/>
      <c r="F44" s="635"/>
      <c r="G44" s="635"/>
      <c r="H44" s="635"/>
    </row>
    <row r="46" spans="1:8" x14ac:dyDescent="0.35">
      <c r="A46" s="265"/>
      <c r="B46" s="266"/>
    </row>
    <row r="47" spans="1:8" x14ac:dyDescent="0.35">
      <c r="A47" s="265"/>
      <c r="B47" s="266"/>
    </row>
    <row r="48" spans="1:8" x14ac:dyDescent="0.35">
      <c r="A48" s="265"/>
      <c r="B48" s="266"/>
    </row>
    <row r="49" spans="1:2" x14ac:dyDescent="0.35">
      <c r="A49" s="265"/>
      <c r="B49" s="267"/>
    </row>
  </sheetData>
  <sheetProtection algorithmName="SHA-512" hashValue="MBblMV617VgK5bsaxB2W1VxbZTPvWEYmtebg//vBpROA/lP/tVed3pycFx8xYpdfwTpYj02HE14uaBk6wABhJw==" saltValue="imIcX5PkNiVO0SrOOlRvSw==" spinCount="100000" sheet="1" objects="1" scenarios="1"/>
  <mergeCells count="2">
    <mergeCell ref="A9:B9"/>
    <mergeCell ref="D9:H9"/>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3:AD122"/>
  <sheetViews>
    <sheetView tabSelected="1" view="pageBreakPreview" zoomScaleNormal="100" zoomScaleSheetLayoutView="100" workbookViewId="0">
      <pane xSplit="1" ySplit="10" topLeftCell="B86" activePane="bottomRight" state="frozen"/>
      <selection pane="topRight" activeCell="B1" sqref="B1"/>
      <selection pane="bottomLeft" activeCell="A11" sqref="A11"/>
      <selection pane="bottomRight" activeCell="I96" sqref="I96"/>
    </sheetView>
  </sheetViews>
  <sheetFormatPr defaultColWidth="9.26953125" defaultRowHeight="12.5" x14ac:dyDescent="0.25"/>
  <cols>
    <col min="1" max="1" width="6.26953125" style="91" customWidth="1"/>
    <col min="2" max="2" width="13.54296875" style="91" customWidth="1"/>
    <col min="3" max="3" width="12.7265625" style="91" customWidth="1"/>
    <col min="4" max="4" width="14.54296875" style="91" customWidth="1"/>
    <col min="5" max="5" width="13.54296875" style="91" customWidth="1"/>
    <col min="6" max="6" width="14" style="91" customWidth="1"/>
    <col min="7" max="7" width="14.54296875" style="91" customWidth="1"/>
    <col min="8" max="8" width="13.36328125" style="91" customWidth="1"/>
    <col min="9" max="9" width="14.36328125" style="91" customWidth="1"/>
    <col min="10" max="10" width="14.81640625" style="91" customWidth="1"/>
    <col min="11" max="12" width="13.36328125" style="91" customWidth="1"/>
    <col min="13" max="13" width="15" style="91" customWidth="1"/>
    <col min="14" max="14" width="13.26953125" style="91" customWidth="1"/>
    <col min="15" max="15" width="14.1796875" style="91" customWidth="1"/>
    <col min="16" max="16" width="13" style="91" customWidth="1"/>
    <col min="17" max="17" width="13.81640625" style="91" customWidth="1"/>
    <col min="18" max="18" width="1.7265625" style="91" customWidth="1"/>
    <col min="19" max="19" width="13.26953125" style="91" customWidth="1"/>
    <col min="20" max="20" width="12.81640625" style="91" customWidth="1"/>
    <col min="21" max="21" width="14.26953125" style="91" customWidth="1"/>
    <col min="22" max="24" width="15.26953125" style="91" customWidth="1"/>
    <col min="25" max="25" width="15.7265625" style="91" customWidth="1"/>
    <col min="26" max="26" width="13.36328125" style="91" bestFit="1" customWidth="1"/>
    <col min="27" max="16384" width="9.26953125" style="91"/>
  </cols>
  <sheetData>
    <row r="3" spans="1:30" ht="25.5" customHeight="1" x14ac:dyDescent="0.35">
      <c r="A3" s="3"/>
      <c r="B3" s="3"/>
      <c r="C3" s="3"/>
      <c r="D3" s="452"/>
      <c r="E3" s="270"/>
      <c r="F3" s="3"/>
      <c r="G3" s="3"/>
      <c r="H3" s="3"/>
      <c r="I3" s="3"/>
      <c r="J3" s="3"/>
      <c r="K3" s="3"/>
      <c r="L3" s="3"/>
      <c r="M3" s="3"/>
      <c r="N3" s="452"/>
      <c r="O3" s="93"/>
      <c r="P3" s="452"/>
      <c r="Q3" s="452"/>
      <c r="R3" s="452"/>
      <c r="S3" s="661" t="s">
        <v>9</v>
      </c>
      <c r="T3" s="662"/>
      <c r="U3" s="663"/>
      <c r="V3" s="220" t="s">
        <v>10</v>
      </c>
      <c r="W3" s="452"/>
      <c r="X3" s="452"/>
      <c r="Y3" s="452"/>
      <c r="Z3" s="452"/>
      <c r="AA3" s="452"/>
      <c r="AB3" s="452"/>
      <c r="AC3" s="112"/>
      <c r="AD3" s="105"/>
    </row>
    <row r="4" spans="1:30" ht="15" customHeight="1" x14ac:dyDescent="0.35">
      <c r="A4" s="451" t="s">
        <v>1</v>
      </c>
      <c r="B4" s="452"/>
      <c r="C4" s="118" t="str">
        <f>'2019 CCP Summary'!B4</f>
        <v>REV 0 July 29, 2019</v>
      </c>
      <c r="D4" s="452"/>
      <c r="E4" s="452"/>
      <c r="F4" s="118"/>
      <c r="G4" s="118"/>
      <c r="H4" s="4"/>
      <c r="I4" s="4"/>
      <c r="J4" s="4"/>
      <c r="K4" s="4"/>
      <c r="L4" s="4"/>
      <c r="M4" s="4"/>
      <c r="N4" s="452"/>
      <c r="O4" s="5"/>
      <c r="P4" s="452"/>
      <c r="Q4" s="452"/>
      <c r="R4" s="452"/>
      <c r="S4" s="676" t="s">
        <v>46</v>
      </c>
      <c r="T4" s="677"/>
      <c r="U4" s="678"/>
      <c r="V4" s="221">
        <v>0.3</v>
      </c>
      <c r="W4" s="452"/>
      <c r="X4" s="452"/>
      <c r="Y4" s="452"/>
      <c r="Z4" s="452"/>
      <c r="AA4" s="452"/>
      <c r="AB4" s="452"/>
      <c r="AC4" s="5"/>
      <c r="AD4" s="22"/>
    </row>
    <row r="5" spans="1:30" ht="14.5" x14ac:dyDescent="0.35">
      <c r="A5" s="453" t="s">
        <v>2</v>
      </c>
      <c r="B5" s="452"/>
      <c r="C5" s="461">
        <f>'2019 CCP Summary'!B5</f>
        <v>18106417</v>
      </c>
      <c r="D5" s="452"/>
      <c r="E5" s="452"/>
      <c r="F5" s="6"/>
      <c r="G5" s="6"/>
      <c r="H5" s="7"/>
      <c r="I5" s="7"/>
      <c r="J5" s="7"/>
      <c r="K5" s="7"/>
      <c r="L5" s="7"/>
      <c r="M5" s="7"/>
      <c r="N5" s="452"/>
      <c r="O5" s="5"/>
      <c r="P5" s="452"/>
      <c r="Q5" s="452"/>
      <c r="R5" s="452"/>
      <c r="S5" s="674" t="s">
        <v>47</v>
      </c>
      <c r="T5" s="674"/>
      <c r="U5" s="674"/>
      <c r="V5" s="221">
        <v>0.17499999999999999</v>
      </c>
      <c r="W5" s="189"/>
      <c r="X5" s="189"/>
      <c r="Y5" s="452"/>
      <c r="Z5" s="452"/>
      <c r="AA5" s="452"/>
      <c r="AB5" s="452"/>
      <c r="AC5" s="5"/>
      <c r="AD5" s="22"/>
    </row>
    <row r="6" spans="1:30" ht="29.25" customHeight="1" x14ac:dyDescent="0.35">
      <c r="A6" s="453" t="s">
        <v>3</v>
      </c>
      <c r="B6" s="452"/>
      <c r="C6" s="6" t="s">
        <v>48</v>
      </c>
      <c r="D6" s="452"/>
      <c r="E6" s="452"/>
      <c r="F6" s="6"/>
      <c r="G6" s="6"/>
      <c r="H6" s="8"/>
      <c r="I6" s="8"/>
      <c r="J6" s="8"/>
      <c r="K6" s="8"/>
      <c r="L6" s="8"/>
      <c r="M6" s="8"/>
      <c r="N6" s="452"/>
      <c r="O6" s="8"/>
      <c r="P6" s="452"/>
      <c r="Q6" s="452"/>
      <c r="R6" s="452"/>
      <c r="S6" s="675" t="s">
        <v>49</v>
      </c>
      <c r="T6" s="675"/>
      <c r="U6" s="675"/>
      <c r="V6" s="221">
        <v>0.17499999999999999</v>
      </c>
      <c r="W6" s="190"/>
      <c r="X6" s="190"/>
      <c r="Y6" s="452"/>
      <c r="Z6" s="452"/>
      <c r="AA6" s="452"/>
      <c r="AB6" s="452"/>
      <c r="AC6" s="5"/>
      <c r="AD6" s="22"/>
    </row>
    <row r="7" spans="1:30" ht="13" x14ac:dyDescent="0.3">
      <c r="A7" s="451" t="s">
        <v>5</v>
      </c>
      <c r="B7" s="452"/>
      <c r="C7" s="6" t="str">
        <f>'2019 CCP Summary'!B7</f>
        <v>Tyrone Mine Closure Closeout Plan</v>
      </c>
      <c r="D7" s="452"/>
      <c r="E7" s="452"/>
      <c r="F7" s="6"/>
      <c r="G7" s="6"/>
      <c r="H7" s="8"/>
      <c r="I7" s="8"/>
      <c r="J7" s="8"/>
      <c r="K7" s="8"/>
      <c r="L7" s="8"/>
      <c r="M7" s="8"/>
      <c r="N7" s="452"/>
      <c r="O7" s="8"/>
      <c r="P7" s="452"/>
      <c r="Q7" s="452"/>
      <c r="R7" s="452"/>
      <c r="S7" s="452"/>
      <c r="T7" s="452"/>
      <c r="U7" s="452"/>
      <c r="V7" s="452"/>
      <c r="W7" s="190"/>
      <c r="X7" s="190"/>
      <c r="Y7" s="452"/>
      <c r="Z7" s="452"/>
      <c r="AA7" s="452"/>
      <c r="AB7" s="452"/>
      <c r="AC7" s="679"/>
      <c r="AD7" s="679"/>
    </row>
    <row r="8" spans="1:30" ht="13.5" thickBot="1" x14ac:dyDescent="0.35">
      <c r="A8" s="103"/>
      <c r="B8" s="664"/>
      <c r="C8" s="664"/>
      <c r="D8" s="664"/>
      <c r="E8" s="664"/>
      <c r="F8" s="664"/>
      <c r="G8" s="664"/>
      <c r="H8" s="664"/>
      <c r="I8" s="664"/>
      <c r="J8" s="664"/>
      <c r="K8" s="664"/>
      <c r="L8" s="664"/>
      <c r="M8" s="664"/>
      <c r="N8" s="664"/>
      <c r="O8" s="664"/>
      <c r="P8" s="664"/>
      <c r="Q8" s="664"/>
      <c r="R8" s="449"/>
      <c r="S8" s="449"/>
      <c r="T8" s="449"/>
      <c r="U8" s="449"/>
      <c r="V8" s="449"/>
      <c r="W8" s="449"/>
      <c r="X8" s="449"/>
      <c r="Y8" s="449"/>
      <c r="Z8" s="452"/>
      <c r="AA8" s="452"/>
      <c r="AB8" s="452"/>
      <c r="AC8" s="452"/>
      <c r="AD8" s="452"/>
    </row>
    <row r="9" spans="1:30" ht="15.75" customHeight="1" thickBot="1" x14ac:dyDescent="0.35">
      <c r="A9" s="680" t="s">
        <v>50</v>
      </c>
      <c r="B9" s="684" t="s">
        <v>36</v>
      </c>
      <c r="C9" s="672"/>
      <c r="D9" s="673"/>
      <c r="E9" s="668" t="s">
        <v>24</v>
      </c>
      <c r="F9" s="669"/>
      <c r="G9" s="670"/>
      <c r="H9" s="671" t="s">
        <v>51</v>
      </c>
      <c r="I9" s="672"/>
      <c r="J9" s="673"/>
      <c r="K9" s="671" t="s">
        <v>52</v>
      </c>
      <c r="L9" s="672"/>
      <c r="M9" s="673"/>
      <c r="N9" s="671" t="s">
        <v>53</v>
      </c>
      <c r="O9" s="673"/>
      <c r="P9" s="682" t="s">
        <v>54</v>
      </c>
      <c r="Q9" s="683"/>
      <c r="R9" s="195"/>
      <c r="S9" s="665" t="s">
        <v>55</v>
      </c>
      <c r="T9" s="666"/>
      <c r="U9" s="666"/>
      <c r="V9" s="666"/>
      <c r="W9" s="666"/>
      <c r="X9" s="666"/>
      <c r="Y9" s="667"/>
      <c r="Z9" s="452"/>
      <c r="AA9" s="452"/>
      <c r="AB9" s="452"/>
      <c r="AC9" s="452"/>
      <c r="AD9" s="452"/>
    </row>
    <row r="10" spans="1:30" ht="73.5" customHeight="1" x14ac:dyDescent="0.3">
      <c r="A10" s="681"/>
      <c r="B10" s="202" t="s">
        <v>56</v>
      </c>
      <c r="C10" s="203" t="s">
        <v>57</v>
      </c>
      <c r="D10" s="204" t="s">
        <v>58</v>
      </c>
      <c r="E10" s="202" t="s">
        <v>56</v>
      </c>
      <c r="F10" s="203" t="s">
        <v>57</v>
      </c>
      <c r="G10" s="204" t="s">
        <v>58</v>
      </c>
      <c r="H10" s="202" t="s">
        <v>56</v>
      </c>
      <c r="I10" s="203" t="s">
        <v>59</v>
      </c>
      <c r="J10" s="204" t="s">
        <v>60</v>
      </c>
      <c r="K10" s="202" t="s">
        <v>56</v>
      </c>
      <c r="L10" s="203" t="s">
        <v>57</v>
      </c>
      <c r="M10" s="204" t="s">
        <v>60</v>
      </c>
      <c r="N10" s="202" t="s">
        <v>56</v>
      </c>
      <c r="O10" s="204" t="s">
        <v>60</v>
      </c>
      <c r="P10" s="202" t="s">
        <v>56</v>
      </c>
      <c r="Q10" s="204" t="s">
        <v>60</v>
      </c>
      <c r="R10" s="196"/>
      <c r="S10" s="205" t="s">
        <v>61</v>
      </c>
      <c r="T10" s="206" t="s">
        <v>62</v>
      </c>
      <c r="U10" s="207" t="s">
        <v>63</v>
      </c>
      <c r="V10" s="206" t="s">
        <v>64</v>
      </c>
      <c r="W10" s="208" t="s">
        <v>65</v>
      </c>
      <c r="X10" s="206" t="s">
        <v>66</v>
      </c>
      <c r="Y10" s="202" t="s">
        <v>15</v>
      </c>
      <c r="Z10" s="452"/>
      <c r="AA10" s="177"/>
      <c r="AB10" s="452"/>
      <c r="AC10" s="452"/>
      <c r="AD10" s="452"/>
    </row>
    <row r="11" spans="1:30" ht="13" x14ac:dyDescent="0.3">
      <c r="A11" s="182">
        <v>0</v>
      </c>
      <c r="B11" s="324">
        <f>'Short Term ETS Cash Flow 2019'!C10</f>
        <v>1331300</v>
      </c>
      <c r="C11" s="178">
        <f>'Short Term ETS Cash Flow 2019'!H10</f>
        <v>0</v>
      </c>
      <c r="D11" s="181">
        <f>SUM('Short Term ETS Cash Flow 2019'!D10:F10)</f>
        <v>0</v>
      </c>
      <c r="E11" s="180">
        <f>'Long Term ETS Cash Flow 2019'!C11</f>
        <v>0</v>
      </c>
      <c r="F11" s="178">
        <v>0</v>
      </c>
      <c r="G11" s="181">
        <v>0</v>
      </c>
      <c r="H11" s="184">
        <v>0</v>
      </c>
      <c r="I11" s="114">
        <v>0</v>
      </c>
      <c r="J11" s="185">
        <v>0</v>
      </c>
      <c r="K11" s="184">
        <v>0</v>
      </c>
      <c r="L11" s="114">
        <v>0</v>
      </c>
      <c r="M11" s="185">
        <v>0</v>
      </c>
      <c r="N11" s="184">
        <v>0</v>
      </c>
      <c r="O11" s="185">
        <v>0</v>
      </c>
      <c r="P11" s="184">
        <v>0</v>
      </c>
      <c r="Q11" s="186">
        <v>0</v>
      </c>
      <c r="R11" s="197"/>
      <c r="S11" s="199">
        <f>SUM(B11,E11,H11,K11,N11,P11)</f>
        <v>1331300</v>
      </c>
      <c r="T11" s="200">
        <f t="shared" ref="T11" si="0">S11*$V$4</f>
        <v>399390</v>
      </c>
      <c r="U11" s="191">
        <f>SUM(C11,F11,I11,L11)</f>
        <v>0</v>
      </c>
      <c r="V11" s="185">
        <f t="shared" ref="V11" si="1">U11*$V$5</f>
        <v>0</v>
      </c>
      <c r="W11" s="184">
        <f>SUM(D11,G11,J11,M11,O11,Q11)</f>
        <v>0</v>
      </c>
      <c r="X11" s="194">
        <f>W11*$V$6</f>
        <v>0</v>
      </c>
      <c r="Y11" s="193">
        <f>SUM(S11:X11)</f>
        <v>1730690</v>
      </c>
      <c r="Z11" s="452"/>
      <c r="AA11" s="452"/>
      <c r="AB11" s="452"/>
      <c r="AC11" s="452"/>
      <c r="AD11" s="452"/>
    </row>
    <row r="12" spans="1:30" ht="13" x14ac:dyDescent="0.3">
      <c r="A12" s="182">
        <v>1</v>
      </c>
      <c r="B12" s="209">
        <f>'Short Term ETS Cash Flow 2019'!C11</f>
        <v>0</v>
      </c>
      <c r="C12" s="178">
        <f>'Short Term ETS Cash Flow 2019'!H11</f>
        <v>2570345.4184692162</v>
      </c>
      <c r="D12" s="181">
        <f>SUM('Short Term ETS Cash Flow 2019'!D11:F11)</f>
        <v>148544.35250000001</v>
      </c>
      <c r="E12" s="180">
        <f>'Long Term ETS Cash Flow 2019'!C11</f>
        <v>0</v>
      </c>
      <c r="F12" s="178">
        <f>SUM('Long Term ETS Cash Flow 2019'!M11)</f>
        <v>0</v>
      </c>
      <c r="G12" s="181">
        <f>SUM('Long Term ETS Cash Flow 2019'!D11:J11)</f>
        <v>0</v>
      </c>
      <c r="H12" s="184">
        <f>'TTS Cash Flow'!B11</f>
        <v>0</v>
      </c>
      <c r="I12" s="114">
        <f>SUM('TTS Cash Flow'!F11:K11)</f>
        <v>3224</v>
      </c>
      <c r="J12" s="114">
        <f>SUM('TTS Cash Flow'!C11:E11)</f>
        <v>0</v>
      </c>
      <c r="K12" s="184">
        <f>'Water Conveyance Cash Flow 2019'!C10</f>
        <v>0</v>
      </c>
      <c r="L12" s="114">
        <f>SUM('Water Conveyance Cash Flow 2019'!J10)</f>
        <v>0</v>
      </c>
      <c r="M12" s="185">
        <f>SUM('Water Conveyance Cash Flow 2019'!D10:H10)</f>
        <v>0</v>
      </c>
      <c r="N12" s="184">
        <f>'Sludge Disposal Cash Flow 2019'!C10</f>
        <v>0</v>
      </c>
      <c r="O12" s="185">
        <f>'Sludge Disposal Cash Flow 2019'!H10-'Sludge Disposal Cash Flow 2019'!C10</f>
        <v>0</v>
      </c>
      <c r="P12" s="184">
        <f>'Salt Disposal Cash Flow 2019'!C10</f>
        <v>0</v>
      </c>
      <c r="Q12" s="186">
        <f>'Salt Disposal Cash Flow 2019'!H10-'Salt Disposal Cash Flow 2019'!C10</f>
        <v>0</v>
      </c>
      <c r="R12" s="197"/>
      <c r="S12" s="199">
        <f t="shared" ref="S12:S75" si="2">SUM(B12,E12,H12,K12,N12,P12)</f>
        <v>0</v>
      </c>
      <c r="T12" s="200">
        <f t="shared" ref="T12:T75" si="3">S12*$V$4</f>
        <v>0</v>
      </c>
      <c r="U12" s="191">
        <f t="shared" ref="U12:U75" si="4">SUM(C12,F12,I12,L12)</f>
        <v>2573569.4184692162</v>
      </c>
      <c r="V12" s="185">
        <f>U12*$V$5</f>
        <v>450374.64823211281</v>
      </c>
      <c r="W12" s="184">
        <f t="shared" ref="W12:W75" si="5">SUM(D12,G12,J12,M12,O12,Q12)</f>
        <v>148544.35250000001</v>
      </c>
      <c r="X12" s="194">
        <f t="shared" ref="X12:X75" si="6">W12*$V$6</f>
        <v>25995.261687499999</v>
      </c>
      <c r="Y12" s="193">
        <f t="shared" ref="Y12:Y75" si="7">SUM(S12:X12)</f>
        <v>3198483.6808888288</v>
      </c>
      <c r="Z12" s="452"/>
      <c r="AA12" s="452"/>
      <c r="AB12" s="452"/>
      <c r="AC12" s="452"/>
      <c r="AD12" s="452"/>
    </row>
    <row r="13" spans="1:30" ht="13" x14ac:dyDescent="0.3">
      <c r="A13" s="182">
        <v>2</v>
      </c>
      <c r="B13" s="209">
        <f>'Short Term ETS Cash Flow 2019'!C12</f>
        <v>0</v>
      </c>
      <c r="C13" s="178">
        <f>'Short Term ETS Cash Flow 2019'!H12</f>
        <v>2741915.5818989505</v>
      </c>
      <c r="D13" s="181">
        <f>SUM('Short Term ETS Cash Flow 2019'!D12:F12)</f>
        <v>148544.35250000001</v>
      </c>
      <c r="E13" s="180">
        <f>'Long Term ETS Cash Flow 2019'!C12</f>
        <v>0</v>
      </c>
      <c r="F13" s="178">
        <f>SUM('Long Term ETS Cash Flow 2019'!M12)</f>
        <v>0</v>
      </c>
      <c r="G13" s="181">
        <f>SUM('Long Term ETS Cash Flow 2019'!D12:J12)</f>
        <v>0</v>
      </c>
      <c r="H13" s="184">
        <f>'TTS Cash Flow'!B12</f>
        <v>0</v>
      </c>
      <c r="I13" s="114">
        <f>SUM('TTS Cash Flow'!F12:K12)</f>
        <v>3224</v>
      </c>
      <c r="J13" s="114">
        <f>SUM('TTS Cash Flow'!C12:E12)</f>
        <v>0</v>
      </c>
      <c r="K13" s="184">
        <f>'Water Conveyance Cash Flow 2019'!C11</f>
        <v>0</v>
      </c>
      <c r="L13" s="114">
        <f>SUM('Water Conveyance Cash Flow 2019'!J11)</f>
        <v>0</v>
      </c>
      <c r="M13" s="185">
        <f>SUM('Water Conveyance Cash Flow 2019'!D11:H11)</f>
        <v>0</v>
      </c>
      <c r="N13" s="184">
        <f>'Sludge Disposal Cash Flow 2019'!C11</f>
        <v>0</v>
      </c>
      <c r="O13" s="185">
        <f>'Sludge Disposal Cash Flow 2019'!H11-'Sludge Disposal Cash Flow 2019'!C11</f>
        <v>0</v>
      </c>
      <c r="P13" s="184">
        <f>'Salt Disposal Cash Flow 2019'!C11</f>
        <v>0</v>
      </c>
      <c r="Q13" s="186">
        <f>'Salt Disposal Cash Flow 2019'!H11-'Salt Disposal Cash Flow 2019'!C11</f>
        <v>0</v>
      </c>
      <c r="R13" s="197"/>
      <c r="S13" s="199">
        <f t="shared" si="2"/>
        <v>0</v>
      </c>
      <c r="T13" s="200">
        <f t="shared" si="3"/>
        <v>0</v>
      </c>
      <c r="U13" s="191">
        <f t="shared" si="4"/>
        <v>2745139.5818989505</v>
      </c>
      <c r="V13" s="185">
        <f t="shared" ref="V13:V75" si="8">U13*$V$5</f>
        <v>480399.42683231633</v>
      </c>
      <c r="W13" s="184">
        <f t="shared" si="5"/>
        <v>148544.35250000001</v>
      </c>
      <c r="X13" s="194">
        <f t="shared" si="6"/>
        <v>25995.261687499999</v>
      </c>
      <c r="Y13" s="193">
        <f t="shared" si="7"/>
        <v>3400078.6229187669</v>
      </c>
      <c r="Z13" s="452"/>
      <c r="AA13" s="452"/>
      <c r="AB13" s="452"/>
      <c r="AC13" s="452"/>
      <c r="AD13" s="452"/>
    </row>
    <row r="14" spans="1:30" ht="13" x14ac:dyDescent="0.3">
      <c r="A14" s="182">
        <v>3</v>
      </c>
      <c r="B14" s="209">
        <f>'Short Term ETS Cash Flow 2019'!C13</f>
        <v>0</v>
      </c>
      <c r="C14" s="178">
        <f>'Short Term ETS Cash Flow 2019'!H13</f>
        <v>2476186.3674002928</v>
      </c>
      <c r="D14" s="181">
        <f>SUM('Short Term ETS Cash Flow 2019'!D13:F13)</f>
        <v>148544.35250000001</v>
      </c>
      <c r="E14" s="180">
        <f>'Long Term ETS Cash Flow 2019'!C13</f>
        <v>0</v>
      </c>
      <c r="F14" s="178">
        <f>SUM('Long Term ETS Cash Flow 2019'!M13)</f>
        <v>0</v>
      </c>
      <c r="G14" s="181">
        <f>SUM('Long Term ETS Cash Flow 2019'!D13:J13)</f>
        <v>0</v>
      </c>
      <c r="H14" s="184">
        <f>'TTS Cash Flow'!B13</f>
        <v>0</v>
      </c>
      <c r="I14" s="114">
        <f>SUM('TTS Cash Flow'!F13:K13)</f>
        <v>3224</v>
      </c>
      <c r="J14" s="114">
        <f>SUM('TTS Cash Flow'!C13:E13)</f>
        <v>0</v>
      </c>
      <c r="K14" s="184">
        <f>'Water Conveyance Cash Flow 2019'!C12</f>
        <v>0</v>
      </c>
      <c r="L14" s="114">
        <f>SUM('Water Conveyance Cash Flow 2019'!J12)</f>
        <v>0</v>
      </c>
      <c r="M14" s="185">
        <f>SUM('Water Conveyance Cash Flow 2019'!D12:H12)</f>
        <v>0</v>
      </c>
      <c r="N14" s="184">
        <f>'Sludge Disposal Cash Flow 2019'!C12</f>
        <v>0</v>
      </c>
      <c r="O14" s="185">
        <f>'Sludge Disposal Cash Flow 2019'!H12-'Sludge Disposal Cash Flow 2019'!C12</f>
        <v>0</v>
      </c>
      <c r="P14" s="184">
        <f>'Salt Disposal Cash Flow 2019'!C12</f>
        <v>0</v>
      </c>
      <c r="Q14" s="186">
        <f>'Salt Disposal Cash Flow 2019'!H12-'Salt Disposal Cash Flow 2019'!C12</f>
        <v>0</v>
      </c>
      <c r="R14" s="197"/>
      <c r="S14" s="199">
        <f t="shared" si="2"/>
        <v>0</v>
      </c>
      <c r="T14" s="200">
        <f t="shared" si="3"/>
        <v>0</v>
      </c>
      <c r="U14" s="191">
        <f t="shared" si="4"/>
        <v>2479410.3674002928</v>
      </c>
      <c r="V14" s="185">
        <f t="shared" si="8"/>
        <v>433896.81429505121</v>
      </c>
      <c r="W14" s="184">
        <f t="shared" si="5"/>
        <v>148544.35250000001</v>
      </c>
      <c r="X14" s="194">
        <f t="shared" si="6"/>
        <v>25995.261687499999</v>
      </c>
      <c r="Y14" s="193">
        <f t="shared" si="7"/>
        <v>3087846.7958828439</v>
      </c>
      <c r="Z14" s="452"/>
      <c r="AA14" s="452"/>
      <c r="AB14" s="452"/>
      <c r="AC14" s="452"/>
      <c r="AD14" s="452"/>
    </row>
    <row r="15" spans="1:30" ht="13" x14ac:dyDescent="0.3">
      <c r="A15" s="182">
        <v>4</v>
      </c>
      <c r="B15" s="209">
        <f>'Short Term ETS Cash Flow 2019'!C14</f>
        <v>0</v>
      </c>
      <c r="C15" s="178">
        <f>'Short Term ETS Cash Flow 2019'!H14</f>
        <v>2209898.7720543025</v>
      </c>
      <c r="D15" s="181">
        <f>SUM('Short Term ETS Cash Flow 2019'!D14:F14)</f>
        <v>148544.35250000001</v>
      </c>
      <c r="E15" s="180">
        <f>'Long Term ETS Cash Flow 2019'!C14</f>
        <v>0</v>
      </c>
      <c r="F15" s="178">
        <f>SUM('Long Term ETS Cash Flow 2019'!M14)</f>
        <v>0</v>
      </c>
      <c r="G15" s="181">
        <f>SUM('Long Term ETS Cash Flow 2019'!D14:J14)</f>
        <v>0</v>
      </c>
      <c r="H15" s="184">
        <f>'TTS Cash Flow'!B14</f>
        <v>0</v>
      </c>
      <c r="I15" s="114">
        <f>SUM('TTS Cash Flow'!F14:K14)</f>
        <v>3224</v>
      </c>
      <c r="J15" s="114">
        <f>SUM('TTS Cash Flow'!C14:E14)</f>
        <v>0</v>
      </c>
      <c r="K15" s="184">
        <f>'Water Conveyance Cash Flow 2019'!C13</f>
        <v>0</v>
      </c>
      <c r="L15" s="114">
        <f>SUM('Water Conveyance Cash Flow 2019'!J13)</f>
        <v>0</v>
      </c>
      <c r="M15" s="185">
        <f>SUM('Water Conveyance Cash Flow 2019'!D13:H13)</f>
        <v>0</v>
      </c>
      <c r="N15" s="184">
        <f>'Sludge Disposal Cash Flow 2019'!C13</f>
        <v>0</v>
      </c>
      <c r="O15" s="185">
        <f>'Sludge Disposal Cash Flow 2019'!H13-'Sludge Disposal Cash Flow 2019'!C13</f>
        <v>0</v>
      </c>
      <c r="P15" s="184">
        <f>'Salt Disposal Cash Flow 2019'!C13</f>
        <v>0</v>
      </c>
      <c r="Q15" s="186">
        <f>'Salt Disposal Cash Flow 2019'!H13-'Salt Disposal Cash Flow 2019'!C13</f>
        <v>0</v>
      </c>
      <c r="R15" s="197"/>
      <c r="S15" s="199">
        <f t="shared" si="2"/>
        <v>0</v>
      </c>
      <c r="T15" s="200">
        <f t="shared" si="3"/>
        <v>0</v>
      </c>
      <c r="U15" s="191">
        <f t="shared" si="4"/>
        <v>2213122.7720543025</v>
      </c>
      <c r="V15" s="185">
        <f t="shared" si="8"/>
        <v>387296.48510950292</v>
      </c>
      <c r="W15" s="184">
        <f t="shared" si="5"/>
        <v>148544.35250000001</v>
      </c>
      <c r="X15" s="194">
        <f t="shared" si="6"/>
        <v>25995.261687499999</v>
      </c>
      <c r="Y15" s="193">
        <f t="shared" si="7"/>
        <v>2774958.8713513054</v>
      </c>
      <c r="Z15" s="452"/>
      <c r="AA15" s="452"/>
      <c r="AB15" s="452"/>
      <c r="AC15" s="452"/>
      <c r="AD15" s="452"/>
    </row>
    <row r="16" spans="1:30" ht="13" x14ac:dyDescent="0.3">
      <c r="A16" s="183">
        <v>5</v>
      </c>
      <c r="B16" s="209">
        <f>'Short Term ETS Cash Flow 2019'!C15</f>
        <v>0</v>
      </c>
      <c r="C16" s="178">
        <f>'Short Term ETS Cash Flow 2019'!H15</f>
        <v>1942893.2584760271</v>
      </c>
      <c r="D16" s="181">
        <f>SUM('Short Term ETS Cash Flow 2019'!D15:F15)</f>
        <v>148544.35250000001</v>
      </c>
      <c r="E16" s="180">
        <f>'Long Term ETS Cash Flow 2019'!C15</f>
        <v>0</v>
      </c>
      <c r="F16" s="178">
        <f>SUM('Long Term ETS Cash Flow 2019'!M15)</f>
        <v>0</v>
      </c>
      <c r="G16" s="181">
        <f>SUM('Long Term ETS Cash Flow 2019'!D15:J15)</f>
        <v>0</v>
      </c>
      <c r="H16" s="324">
        <f>'TTS Cash Flow'!B15</f>
        <v>0</v>
      </c>
      <c r="I16" s="114">
        <f>SUM('TTS Cash Flow'!F15:K15)</f>
        <v>3224</v>
      </c>
      <c r="J16" s="114">
        <f>SUM('TTS Cash Flow'!C15:E15)</f>
        <v>0</v>
      </c>
      <c r="K16" s="184">
        <f>'Water Conveyance Cash Flow 2019'!C14</f>
        <v>0</v>
      </c>
      <c r="L16" s="114">
        <f>SUM('Water Conveyance Cash Flow 2019'!J14)</f>
        <v>0</v>
      </c>
      <c r="M16" s="185">
        <f>SUM('Water Conveyance Cash Flow 2019'!D14:H14)</f>
        <v>0</v>
      </c>
      <c r="N16" s="184">
        <f>'Sludge Disposal Cash Flow 2019'!C14</f>
        <v>0</v>
      </c>
      <c r="O16" s="185">
        <f>'Sludge Disposal Cash Flow 2019'!H14-'Sludge Disposal Cash Flow 2019'!C14</f>
        <v>0</v>
      </c>
      <c r="P16" s="184">
        <f>'Salt Disposal Cash Flow 2019'!C14</f>
        <v>0</v>
      </c>
      <c r="Q16" s="186">
        <f>'Salt Disposal Cash Flow 2019'!H14-'Salt Disposal Cash Flow 2019'!C14</f>
        <v>0</v>
      </c>
      <c r="R16" s="197"/>
      <c r="S16" s="199">
        <f t="shared" si="2"/>
        <v>0</v>
      </c>
      <c r="T16" s="200">
        <f t="shared" si="3"/>
        <v>0</v>
      </c>
      <c r="U16" s="191">
        <f t="shared" si="4"/>
        <v>1946117.2584760271</v>
      </c>
      <c r="V16" s="185">
        <f t="shared" si="8"/>
        <v>340570.52023330471</v>
      </c>
      <c r="W16" s="184">
        <f t="shared" si="5"/>
        <v>148544.35250000001</v>
      </c>
      <c r="X16" s="194">
        <f t="shared" si="6"/>
        <v>25995.261687499999</v>
      </c>
      <c r="Y16" s="193">
        <f t="shared" si="7"/>
        <v>2461227.3928968315</v>
      </c>
      <c r="Z16" s="452"/>
      <c r="AA16" s="452"/>
      <c r="AB16" s="452"/>
      <c r="AC16" s="452"/>
      <c r="AD16" s="452"/>
    </row>
    <row r="17" spans="1:25" ht="13" x14ac:dyDescent="0.3">
      <c r="A17" s="182">
        <v>6</v>
      </c>
      <c r="B17" s="209">
        <f>'Short Term ETS Cash Flow 2019'!C16</f>
        <v>0</v>
      </c>
      <c r="C17" s="178">
        <f>'Short Term ETS Cash Flow 2019'!H16</f>
        <v>1675967.5135902273</v>
      </c>
      <c r="D17" s="181">
        <f>SUM('Short Term ETS Cash Flow 2019'!D16:F16)</f>
        <v>148544.35250000001</v>
      </c>
      <c r="E17" s="324">
        <f>'Long Term ETS Cash Flow 2019'!C16</f>
        <v>0</v>
      </c>
      <c r="F17" s="178">
        <f>SUM('Long Term ETS Cash Flow 2019'!M16)</f>
        <v>0</v>
      </c>
      <c r="G17" s="181">
        <f>SUM('Long Term ETS Cash Flow 2019'!D16:J16)</f>
        <v>0</v>
      </c>
      <c r="H17" s="184">
        <f>'TTS Cash Flow'!B16</f>
        <v>0</v>
      </c>
      <c r="I17" s="114">
        <f>SUM('TTS Cash Flow'!F16:K16)</f>
        <v>3224</v>
      </c>
      <c r="J17" s="114">
        <f>SUM('TTS Cash Flow'!C16:E16)</f>
        <v>0</v>
      </c>
      <c r="K17" s="184">
        <f>'Water Conveyance Cash Flow 2019'!C15</f>
        <v>0</v>
      </c>
      <c r="L17" s="114">
        <f>SUM('Water Conveyance Cash Flow 2019'!J15)</f>
        <v>0</v>
      </c>
      <c r="M17" s="185">
        <f>SUM('Water Conveyance Cash Flow 2019'!D15:H15)</f>
        <v>0</v>
      </c>
      <c r="N17" s="184">
        <f>'Sludge Disposal Cash Flow 2019'!C15</f>
        <v>0</v>
      </c>
      <c r="O17" s="185">
        <f>'Sludge Disposal Cash Flow 2019'!H15-'Sludge Disposal Cash Flow 2019'!C15</f>
        <v>0</v>
      </c>
      <c r="P17" s="184">
        <f>'Salt Disposal Cash Flow 2019'!C15</f>
        <v>0</v>
      </c>
      <c r="Q17" s="186">
        <f>'Salt Disposal Cash Flow 2019'!H15-'Salt Disposal Cash Flow 2019'!C15</f>
        <v>0</v>
      </c>
      <c r="R17" s="197"/>
      <c r="S17" s="199">
        <f>SUM(B17,E17,H17,K17,N17,P17)</f>
        <v>0</v>
      </c>
      <c r="T17" s="200">
        <f t="shared" si="3"/>
        <v>0</v>
      </c>
      <c r="U17" s="191">
        <f t="shared" si="4"/>
        <v>1679191.5135902273</v>
      </c>
      <c r="V17" s="185">
        <f t="shared" si="8"/>
        <v>293858.51487828977</v>
      </c>
      <c r="W17" s="184">
        <f t="shared" si="5"/>
        <v>148544.35250000001</v>
      </c>
      <c r="X17" s="194">
        <f t="shared" si="6"/>
        <v>25995.261687499999</v>
      </c>
      <c r="Y17" s="193">
        <f t="shared" si="7"/>
        <v>2147589.6426560171</v>
      </c>
    </row>
    <row r="18" spans="1:25" ht="13" x14ac:dyDescent="0.3">
      <c r="A18" s="182">
        <v>7</v>
      </c>
      <c r="B18" s="209">
        <f>'Short Term ETS Cash Flow 2019'!C17</f>
        <v>0</v>
      </c>
      <c r="C18" s="178">
        <f>'Short Term ETS Cash Flow 2019'!H17</f>
        <v>1415503.0327949922</v>
      </c>
      <c r="D18" s="181">
        <f>SUM('Short Term ETS Cash Flow 2019'!D17:F17)</f>
        <v>148544.35250000001</v>
      </c>
      <c r="E18" s="180">
        <f>'Long Term ETS Cash Flow 2019'!C17</f>
        <v>0</v>
      </c>
      <c r="F18" s="178">
        <f>SUM('Long Term ETS Cash Flow 2019'!M17)</f>
        <v>0</v>
      </c>
      <c r="G18" s="181">
        <f>SUM('Long Term ETS Cash Flow 2019'!D17:J17)</f>
        <v>0</v>
      </c>
      <c r="H18" s="184">
        <f>'TTS Cash Flow'!B17</f>
        <v>0</v>
      </c>
      <c r="I18" s="114">
        <f>SUM('TTS Cash Flow'!F17:K17)</f>
        <v>3224</v>
      </c>
      <c r="J18" s="114">
        <f>SUM('TTS Cash Flow'!C17:E17)</f>
        <v>0</v>
      </c>
      <c r="K18" s="184">
        <f>'Water Conveyance Cash Flow 2019'!C16</f>
        <v>0</v>
      </c>
      <c r="L18" s="114">
        <f>SUM('Water Conveyance Cash Flow 2019'!J16)</f>
        <v>0</v>
      </c>
      <c r="M18" s="185">
        <f>SUM('Water Conveyance Cash Flow 2019'!D16:H16)</f>
        <v>0</v>
      </c>
      <c r="N18" s="184">
        <f>'Sludge Disposal Cash Flow 2019'!C16</f>
        <v>0</v>
      </c>
      <c r="O18" s="185">
        <f>'Sludge Disposal Cash Flow 2019'!H16-'Sludge Disposal Cash Flow 2019'!C16</f>
        <v>0</v>
      </c>
      <c r="P18" s="184">
        <f>'Salt Disposal Cash Flow 2019'!C16</f>
        <v>0</v>
      </c>
      <c r="Q18" s="186">
        <f>'Salt Disposal Cash Flow 2019'!H16-'Salt Disposal Cash Flow 2019'!C16</f>
        <v>0</v>
      </c>
      <c r="R18" s="197"/>
      <c r="S18" s="199">
        <f t="shared" si="2"/>
        <v>0</v>
      </c>
      <c r="T18" s="200">
        <f t="shared" si="3"/>
        <v>0</v>
      </c>
      <c r="U18" s="191">
        <f t="shared" si="4"/>
        <v>1418727.0327949922</v>
      </c>
      <c r="V18" s="185">
        <f t="shared" si="8"/>
        <v>248277.23073912362</v>
      </c>
      <c r="W18" s="184">
        <f t="shared" si="5"/>
        <v>148544.35250000001</v>
      </c>
      <c r="X18" s="194">
        <f t="shared" si="6"/>
        <v>25995.261687499999</v>
      </c>
      <c r="Y18" s="193">
        <f t="shared" si="7"/>
        <v>1841543.8777216158</v>
      </c>
    </row>
    <row r="19" spans="1:25" ht="13" x14ac:dyDescent="0.3">
      <c r="A19" s="182">
        <v>8</v>
      </c>
      <c r="B19" s="209">
        <f>'Short Term ETS Cash Flow 2019'!C18</f>
        <v>0</v>
      </c>
      <c r="C19" s="178">
        <f>'Short Term ETS Cash Flow 2019'!H18</f>
        <v>1148577.2879091927</v>
      </c>
      <c r="D19" s="181">
        <f>SUM('Short Term ETS Cash Flow 2019'!D18:F18)</f>
        <v>148544.35250000001</v>
      </c>
      <c r="E19" s="180">
        <f>'Long Term ETS Cash Flow 2019'!C18</f>
        <v>0</v>
      </c>
      <c r="F19" s="178">
        <f>SUM('Long Term ETS Cash Flow 2019'!M18)</f>
        <v>0</v>
      </c>
      <c r="G19" s="181">
        <f>SUM('Long Term ETS Cash Flow 2019'!D18:J18)</f>
        <v>0</v>
      </c>
      <c r="H19" s="184">
        <f>'TTS Cash Flow'!B18</f>
        <v>0</v>
      </c>
      <c r="I19" s="114">
        <f>SUM('TTS Cash Flow'!F18:K18)</f>
        <v>3224</v>
      </c>
      <c r="J19" s="114">
        <f>SUM('TTS Cash Flow'!C18:E18)</f>
        <v>0</v>
      </c>
      <c r="K19" s="184">
        <f>'Water Conveyance Cash Flow 2019'!C17</f>
        <v>0</v>
      </c>
      <c r="L19" s="114">
        <f>SUM('Water Conveyance Cash Flow 2019'!J17)</f>
        <v>0</v>
      </c>
      <c r="M19" s="185">
        <f>SUM('Water Conveyance Cash Flow 2019'!D17:H17)</f>
        <v>0</v>
      </c>
      <c r="N19" s="184">
        <f>'Sludge Disposal Cash Flow 2019'!C17</f>
        <v>0</v>
      </c>
      <c r="O19" s="185">
        <f>'Sludge Disposal Cash Flow 2019'!H17-'Sludge Disposal Cash Flow 2019'!C17</f>
        <v>0</v>
      </c>
      <c r="P19" s="184">
        <f>'Salt Disposal Cash Flow 2019'!C17</f>
        <v>0</v>
      </c>
      <c r="Q19" s="186">
        <f>'Salt Disposal Cash Flow 2019'!H17-'Salt Disposal Cash Flow 2019'!C17</f>
        <v>0</v>
      </c>
      <c r="R19" s="197"/>
      <c r="S19" s="199">
        <f t="shared" si="2"/>
        <v>0</v>
      </c>
      <c r="T19" s="200">
        <f t="shared" si="3"/>
        <v>0</v>
      </c>
      <c r="U19" s="191">
        <f t="shared" si="4"/>
        <v>1151801.2879091927</v>
      </c>
      <c r="V19" s="185">
        <f t="shared" si="8"/>
        <v>201565.22538410872</v>
      </c>
      <c r="W19" s="184">
        <f t="shared" si="5"/>
        <v>148544.35250000001</v>
      </c>
      <c r="X19" s="194">
        <f t="shared" si="6"/>
        <v>25995.261687499999</v>
      </c>
      <c r="Y19" s="193">
        <f t="shared" si="7"/>
        <v>1527906.1274808014</v>
      </c>
    </row>
    <row r="20" spans="1:25" ht="13" x14ac:dyDescent="0.3">
      <c r="A20" s="182">
        <v>9</v>
      </c>
      <c r="B20" s="209">
        <f>'Short Term ETS Cash Flow 2019'!C19</f>
        <v>0</v>
      </c>
      <c r="C20" s="178">
        <f>'Short Term ETS Cash Flow 2019'!H19</f>
        <v>881731.31171586923</v>
      </c>
      <c r="D20" s="181">
        <f>SUM('Short Term ETS Cash Flow 2019'!D19:F19)</f>
        <v>148544.35250000001</v>
      </c>
      <c r="E20" s="180">
        <f>'Long Term ETS Cash Flow 2019'!C19</f>
        <v>709540</v>
      </c>
      <c r="F20" s="178">
        <f>SUM('Long Term ETS Cash Flow 2019'!M19)</f>
        <v>0</v>
      </c>
      <c r="G20" s="181">
        <f>SUM('Long Term ETS Cash Flow 2019'!D19:J19)</f>
        <v>0</v>
      </c>
      <c r="H20" s="184">
        <f>'TTS Cash Flow'!B19</f>
        <v>0</v>
      </c>
      <c r="I20" s="114">
        <f>SUM('TTS Cash Flow'!F19:K19)</f>
        <v>3224</v>
      </c>
      <c r="J20" s="114">
        <f>SUM('TTS Cash Flow'!C19:E19)</f>
        <v>0</v>
      </c>
      <c r="K20" s="184">
        <f>'Water Conveyance Cash Flow 2019'!C18</f>
        <v>32000</v>
      </c>
      <c r="L20" s="114">
        <f>SUM('Water Conveyance Cash Flow 2019'!J18)</f>
        <v>0</v>
      </c>
      <c r="M20" s="185">
        <f>SUM('Water Conveyance Cash Flow 2019'!D18:H18)</f>
        <v>0</v>
      </c>
      <c r="N20" s="184">
        <f>'Sludge Disposal Cash Flow 2019'!C18</f>
        <v>0</v>
      </c>
      <c r="O20" s="185">
        <f>'Sludge Disposal Cash Flow 2019'!H18-'Sludge Disposal Cash Flow 2019'!C18</f>
        <v>0</v>
      </c>
      <c r="P20" s="184">
        <f>'Salt Disposal Cash Flow 2019'!C18</f>
        <v>990022.35</v>
      </c>
      <c r="Q20" s="186">
        <f>'Salt Disposal Cash Flow 2019'!H18-'Salt Disposal Cash Flow 2019'!C18</f>
        <v>0</v>
      </c>
      <c r="R20" s="197"/>
      <c r="S20" s="199">
        <f t="shared" si="2"/>
        <v>1731562.35</v>
      </c>
      <c r="T20" s="200">
        <f t="shared" si="3"/>
        <v>519468.70500000002</v>
      </c>
      <c r="U20" s="191">
        <f>SUM(C20,F20,I20,L20)</f>
        <v>884955.31171586923</v>
      </c>
      <c r="V20" s="185">
        <f t="shared" si="8"/>
        <v>154867.1795502771</v>
      </c>
      <c r="W20" s="184">
        <f t="shared" si="5"/>
        <v>148544.35250000001</v>
      </c>
      <c r="X20" s="194">
        <f t="shared" si="6"/>
        <v>25995.261687499999</v>
      </c>
      <c r="Y20" s="193">
        <f t="shared" si="7"/>
        <v>3465393.1604536464</v>
      </c>
    </row>
    <row r="21" spans="1:25" ht="13" x14ac:dyDescent="0.3">
      <c r="A21" s="182">
        <v>10</v>
      </c>
      <c r="B21" s="209">
        <f>'Short Term ETS Cash Flow 2019'!C20</f>
        <v>0</v>
      </c>
      <c r="C21" s="178">
        <f>'Short Term ETS Cash Flow 2019'!H20</f>
        <v>0</v>
      </c>
      <c r="D21" s="181">
        <f>SUM('Short Term ETS Cash Flow 2019'!D20:F20)</f>
        <v>0</v>
      </c>
      <c r="E21" s="180">
        <f>'Long Term ETS Cash Flow 2019'!C20</f>
        <v>0</v>
      </c>
      <c r="F21" s="178">
        <f>SUM('Long Term ETS Cash Flow 2019'!M20)</f>
        <v>502203.35192214476</v>
      </c>
      <c r="G21" s="181">
        <f>SUM('Long Term ETS Cash Flow 2019'!D20:J20)</f>
        <v>69794.771619511885</v>
      </c>
      <c r="H21" s="184">
        <f>'TTS Cash Flow'!B20</f>
        <v>0</v>
      </c>
      <c r="I21" s="114">
        <f>SUM('TTS Cash Flow'!F20:K20)</f>
        <v>3224</v>
      </c>
      <c r="J21" s="114">
        <f>SUM('TTS Cash Flow'!C20:E20)</f>
        <v>0</v>
      </c>
      <c r="K21" s="184">
        <f>'Water Conveyance Cash Flow 2019'!C19</f>
        <v>0</v>
      </c>
      <c r="L21" s="114">
        <f>SUM('Water Conveyance Cash Flow 2019'!J19)</f>
        <v>0</v>
      </c>
      <c r="M21" s="185">
        <f>SUM('Water Conveyance Cash Flow 2019'!D19:H19)</f>
        <v>0</v>
      </c>
      <c r="N21" s="184">
        <f>'Sludge Disposal Cash Flow 2019'!C19</f>
        <v>0</v>
      </c>
      <c r="O21" s="185">
        <f>'Sludge Disposal Cash Flow 2019'!H19-'Sludge Disposal Cash Flow 2019'!C19</f>
        <v>0</v>
      </c>
      <c r="P21" s="184">
        <f>'Salt Disposal Cash Flow 2019'!C19</f>
        <v>0</v>
      </c>
      <c r="Q21" s="186">
        <f>'Salt Disposal Cash Flow 2019'!H19-'Salt Disposal Cash Flow 2019'!C19</f>
        <v>528543.2722962168</v>
      </c>
      <c r="R21" s="197"/>
      <c r="S21" s="199">
        <f t="shared" si="2"/>
        <v>0</v>
      </c>
      <c r="T21" s="200">
        <f t="shared" si="3"/>
        <v>0</v>
      </c>
      <c r="U21" s="191">
        <f t="shared" si="4"/>
        <v>505427.35192214476</v>
      </c>
      <c r="V21" s="185">
        <f t="shared" si="8"/>
        <v>88449.786586375325</v>
      </c>
      <c r="W21" s="184">
        <f t="shared" si="5"/>
        <v>598338.04391572869</v>
      </c>
      <c r="X21" s="194">
        <f t="shared" si="6"/>
        <v>104709.15768525252</v>
      </c>
      <c r="Y21" s="193">
        <f t="shared" si="7"/>
        <v>1296924.3401095013</v>
      </c>
    </row>
    <row r="22" spans="1:25" ht="13" x14ac:dyDescent="0.3">
      <c r="A22" s="182">
        <v>11</v>
      </c>
      <c r="B22" s="209">
        <f>'Short Term ETS Cash Flow 2019'!C21</f>
        <v>0</v>
      </c>
      <c r="C22" s="178">
        <f>'Short Term ETS Cash Flow 2019'!H21</f>
        <v>0</v>
      </c>
      <c r="D22" s="181">
        <f>SUM('Short Term ETS Cash Flow 2019'!D21:F21)</f>
        <v>0</v>
      </c>
      <c r="E22" s="180">
        <f>'Long Term ETS Cash Flow 2019'!C21</f>
        <v>0</v>
      </c>
      <c r="F22" s="178">
        <f>SUM('Long Term ETS Cash Flow 2019'!M21)</f>
        <v>501063.22882220813</v>
      </c>
      <c r="G22" s="181">
        <f>SUM('Long Term ETS Cash Flow 2019'!D21:J21)</f>
        <v>69794.771619511885</v>
      </c>
      <c r="H22" s="184">
        <f>'TTS Cash Flow'!B21</f>
        <v>0</v>
      </c>
      <c r="I22" s="114">
        <f>SUM('TTS Cash Flow'!F21:K21)</f>
        <v>3224</v>
      </c>
      <c r="J22" s="114">
        <f>SUM('TTS Cash Flow'!C21:E21)</f>
        <v>0</v>
      </c>
      <c r="K22" s="184">
        <f>'Water Conveyance Cash Flow 2019'!C20</f>
        <v>0</v>
      </c>
      <c r="L22" s="114">
        <f>SUM('Water Conveyance Cash Flow 2019'!J20)</f>
        <v>0</v>
      </c>
      <c r="M22" s="185">
        <f>SUM('Water Conveyance Cash Flow 2019'!D20:H20)</f>
        <v>0</v>
      </c>
      <c r="N22" s="184">
        <f>'Sludge Disposal Cash Flow 2019'!C20</f>
        <v>0</v>
      </c>
      <c r="O22" s="185">
        <f>'Sludge Disposal Cash Flow 2019'!H20-'Sludge Disposal Cash Flow 2019'!C20</f>
        <v>0</v>
      </c>
      <c r="P22" s="184">
        <f>'Salt Disposal Cash Flow 2019'!C20</f>
        <v>0</v>
      </c>
      <c r="Q22" s="186">
        <f>'Salt Disposal Cash Flow 2019'!H20-'Salt Disposal Cash Flow 2019'!C20</f>
        <v>443884.38899806893</v>
      </c>
      <c r="R22" s="197"/>
      <c r="S22" s="199">
        <f t="shared" si="2"/>
        <v>0</v>
      </c>
      <c r="T22" s="200">
        <f t="shared" si="3"/>
        <v>0</v>
      </c>
      <c r="U22" s="191">
        <f t="shared" si="4"/>
        <v>504287.22882220813</v>
      </c>
      <c r="V22" s="185">
        <f t="shared" si="8"/>
        <v>88250.265043886422</v>
      </c>
      <c r="W22" s="184">
        <f t="shared" si="5"/>
        <v>513679.16061758081</v>
      </c>
      <c r="X22" s="194">
        <f t="shared" si="6"/>
        <v>89893.853108076641</v>
      </c>
      <c r="Y22" s="193">
        <f t="shared" si="7"/>
        <v>1196110.5075917519</v>
      </c>
    </row>
    <row r="23" spans="1:25" ht="13" x14ac:dyDescent="0.3">
      <c r="A23" s="182">
        <v>12</v>
      </c>
      <c r="B23" s="209">
        <f>'Short Term ETS Cash Flow 2019'!C22</f>
        <v>0</v>
      </c>
      <c r="C23" s="178">
        <f>'Short Term ETS Cash Flow 2019'!H22</f>
        <v>0</v>
      </c>
      <c r="D23" s="181">
        <f>SUM('Short Term ETS Cash Flow 2019'!D22:F22)</f>
        <v>0</v>
      </c>
      <c r="E23" s="180">
        <f>'Long Term ETS Cash Flow 2019'!C22</f>
        <v>0</v>
      </c>
      <c r="F23" s="178">
        <f>SUM('Long Term ETS Cash Flow 2019'!M22)</f>
        <v>499925.51683284657</v>
      </c>
      <c r="G23" s="181">
        <f>SUM('Long Term ETS Cash Flow 2019'!D22:J22)</f>
        <v>69794.771619511885</v>
      </c>
      <c r="H23" s="184">
        <f>'TTS Cash Flow'!B22</f>
        <v>0</v>
      </c>
      <c r="I23" s="114">
        <f>SUM('TTS Cash Flow'!F22:K22)</f>
        <v>3224</v>
      </c>
      <c r="J23" s="114">
        <f>SUM('TTS Cash Flow'!C22:E22)</f>
        <v>0</v>
      </c>
      <c r="K23" s="184">
        <f>'Water Conveyance Cash Flow 2019'!C21</f>
        <v>0</v>
      </c>
      <c r="L23" s="114">
        <f>SUM('Water Conveyance Cash Flow 2019'!J21)</f>
        <v>0</v>
      </c>
      <c r="M23" s="185">
        <f>SUM('Water Conveyance Cash Flow 2019'!D21:H21)</f>
        <v>0</v>
      </c>
      <c r="N23" s="184">
        <f>'Sludge Disposal Cash Flow 2019'!C21</f>
        <v>0</v>
      </c>
      <c r="O23" s="185">
        <f>'Sludge Disposal Cash Flow 2019'!H21-'Sludge Disposal Cash Flow 2019'!C21</f>
        <v>0</v>
      </c>
      <c r="P23" s="184">
        <f>'Salt Disposal Cash Flow 2019'!C21</f>
        <v>0</v>
      </c>
      <c r="Q23" s="186">
        <f>'Salt Disposal Cash Flow 2019'!H21-'Salt Disposal Cash Flow 2019'!C21</f>
        <v>360410.33769790432</v>
      </c>
      <c r="R23" s="197"/>
      <c r="S23" s="199">
        <f t="shared" si="2"/>
        <v>0</v>
      </c>
      <c r="T23" s="200">
        <f t="shared" si="3"/>
        <v>0</v>
      </c>
      <c r="U23" s="191">
        <f t="shared" si="4"/>
        <v>503149.51683284657</v>
      </c>
      <c r="V23" s="185">
        <f t="shared" si="8"/>
        <v>88051.165445748149</v>
      </c>
      <c r="W23" s="184">
        <f t="shared" si="5"/>
        <v>430205.10931741621</v>
      </c>
      <c r="X23" s="194">
        <f t="shared" si="6"/>
        <v>75285.894130547837</v>
      </c>
      <c r="Y23" s="193">
        <f t="shared" si="7"/>
        <v>1096691.6857265588</v>
      </c>
    </row>
    <row r="24" spans="1:25" ht="13" x14ac:dyDescent="0.3">
      <c r="A24" s="182">
        <v>13</v>
      </c>
      <c r="B24" s="209">
        <f>'Short Term ETS Cash Flow 2019'!C23</f>
        <v>0</v>
      </c>
      <c r="C24" s="178">
        <f>'Short Term ETS Cash Flow 2019'!H23</f>
        <v>0</v>
      </c>
      <c r="D24" s="181">
        <f>SUM('Short Term ETS Cash Flow 2019'!D23:F23)</f>
        <v>0</v>
      </c>
      <c r="E24" s="180">
        <f>'Long Term ETS Cash Flow 2019'!C23</f>
        <v>0</v>
      </c>
      <c r="F24" s="178">
        <f>SUM('Long Term ETS Cash Flow 2019'!M23)</f>
        <v>433823.07370839483</v>
      </c>
      <c r="G24" s="181">
        <f>SUM('Long Term ETS Cash Flow 2019'!D23:J23)</f>
        <v>69794.771619511885</v>
      </c>
      <c r="H24" s="184">
        <f>'TTS Cash Flow'!B23</f>
        <v>0</v>
      </c>
      <c r="I24" s="114">
        <f>SUM('TTS Cash Flow'!F23:K23)</f>
        <v>1612</v>
      </c>
      <c r="J24" s="114">
        <f>SUM('TTS Cash Flow'!C23:E23)</f>
        <v>0</v>
      </c>
      <c r="K24" s="184">
        <f>'Water Conveyance Cash Flow 2019'!C22</f>
        <v>0</v>
      </c>
      <c r="L24" s="114">
        <f>SUM('Water Conveyance Cash Flow 2019'!J22)</f>
        <v>0</v>
      </c>
      <c r="M24" s="185">
        <f>SUM('Water Conveyance Cash Flow 2019'!D22:H22)</f>
        <v>0</v>
      </c>
      <c r="N24" s="184">
        <f>'Sludge Disposal Cash Flow 2019'!C22</f>
        <v>0</v>
      </c>
      <c r="O24" s="185">
        <f>'Sludge Disposal Cash Flow 2019'!H22-'Sludge Disposal Cash Flow 2019'!C22</f>
        <v>0</v>
      </c>
      <c r="P24" s="184">
        <f>'Salt Disposal Cash Flow 2019'!C22</f>
        <v>0</v>
      </c>
      <c r="Q24" s="186">
        <f>'Salt Disposal Cash Flow 2019'!H22-'Salt Disposal Cash Flow 2019'!C22</f>
        <v>265483.34039608674</v>
      </c>
      <c r="R24" s="197"/>
      <c r="S24" s="199">
        <f t="shared" si="2"/>
        <v>0</v>
      </c>
      <c r="T24" s="200">
        <f t="shared" si="3"/>
        <v>0</v>
      </c>
      <c r="U24" s="191">
        <f t="shared" si="4"/>
        <v>435435.07370839483</v>
      </c>
      <c r="V24" s="185">
        <f t="shared" si="8"/>
        <v>76201.137898969086</v>
      </c>
      <c r="W24" s="184">
        <f t="shared" si="5"/>
        <v>335278.11201559863</v>
      </c>
      <c r="X24" s="194">
        <f t="shared" si="6"/>
        <v>58673.669602729758</v>
      </c>
      <c r="Y24" s="193">
        <f t="shared" si="7"/>
        <v>905587.99322569219</v>
      </c>
    </row>
    <row r="25" spans="1:25" ht="13" x14ac:dyDescent="0.3">
      <c r="A25" s="182">
        <v>14</v>
      </c>
      <c r="B25" s="209">
        <f>'Short Term ETS Cash Flow 2019'!C24</f>
        <v>0</v>
      </c>
      <c r="C25" s="178">
        <f>'Short Term ETS Cash Flow 2019'!H24</f>
        <v>0</v>
      </c>
      <c r="D25" s="181">
        <f>SUM('Short Term ETS Cash Flow 2019'!D24:F24)</f>
        <v>0</v>
      </c>
      <c r="E25" s="180">
        <f>'Long Term ETS Cash Flow 2019'!C24</f>
        <v>547772</v>
      </c>
      <c r="F25" s="178">
        <f>SUM('Long Term ETS Cash Flow 2019'!M24)</f>
        <v>425627.97067635722</v>
      </c>
      <c r="G25" s="181">
        <f>SUM('Long Term ETS Cash Flow 2019'!D24:J24)</f>
        <v>69794.771619511885</v>
      </c>
      <c r="H25" s="184">
        <f>'TTS Cash Flow'!B24</f>
        <v>7232445.0002545901</v>
      </c>
      <c r="I25" s="114">
        <f>SUM('TTS Cash Flow'!F24:K24)</f>
        <v>1612</v>
      </c>
      <c r="J25" s="114">
        <f>SUM('TTS Cash Flow'!C24:E24)</f>
        <v>0</v>
      </c>
      <c r="K25" s="184">
        <f>'Water Conveyance Cash Flow 2019'!C23</f>
        <v>927861</v>
      </c>
      <c r="L25" s="114">
        <f>SUM('Water Conveyance Cash Flow 2019'!J23)</f>
        <v>0</v>
      </c>
      <c r="M25" s="185">
        <f>SUM('Water Conveyance Cash Flow 2019'!D23:H23)</f>
        <v>0</v>
      </c>
      <c r="N25" s="184">
        <f>'Sludge Disposal Cash Flow 2019'!C23</f>
        <v>142304.81804274194</v>
      </c>
      <c r="O25" s="185">
        <f>'Sludge Disposal Cash Flow 2019'!H23-'Sludge Disposal Cash Flow 2019'!C23</f>
        <v>0</v>
      </c>
      <c r="P25" s="184">
        <f>'Salt Disposal Cash Flow 2019'!C23</f>
        <v>0</v>
      </c>
      <c r="Q25" s="186">
        <f>'Salt Disposal Cash Flow 2019'!H23-'Salt Disposal Cash Flow 2019'!C23</f>
        <v>187773.77778398819</v>
      </c>
      <c r="R25" s="197"/>
      <c r="S25" s="199">
        <f t="shared" si="2"/>
        <v>8850382.8182973322</v>
      </c>
      <c r="T25" s="200">
        <f t="shared" si="3"/>
        <v>2655114.8454891997</v>
      </c>
      <c r="U25" s="191">
        <f t="shared" si="4"/>
        <v>427239.97067635722</v>
      </c>
      <c r="V25" s="185">
        <f t="shared" si="8"/>
        <v>74766.994868362512</v>
      </c>
      <c r="W25" s="184">
        <f t="shared" si="5"/>
        <v>257568.54940350007</v>
      </c>
      <c r="X25" s="194">
        <f t="shared" si="6"/>
        <v>45074.496145612509</v>
      </c>
      <c r="Y25" s="193">
        <f t="shared" si="7"/>
        <v>12310147.674880363</v>
      </c>
    </row>
    <row r="26" spans="1:25" ht="13" x14ac:dyDescent="0.3">
      <c r="A26" s="182">
        <v>15</v>
      </c>
      <c r="B26" s="209">
        <f>'Short Term ETS Cash Flow 2019'!C25</f>
        <v>0</v>
      </c>
      <c r="C26" s="178">
        <f>'Short Term ETS Cash Flow 2019'!H25</f>
        <v>0</v>
      </c>
      <c r="D26" s="181">
        <f>SUM('Short Term ETS Cash Flow 2019'!D25:F25)</f>
        <v>0</v>
      </c>
      <c r="E26" s="180">
        <f>'Long Term ETS Cash Flow 2019'!C25</f>
        <v>0</v>
      </c>
      <c r="F26" s="178">
        <f>SUM('Long Term ETS Cash Flow 2019'!M25)</f>
        <v>73991.972179675911</v>
      </c>
      <c r="G26" s="181">
        <f>SUM('Long Term ETS Cash Flow 2019'!D25:J25)</f>
        <v>69794.771619511885</v>
      </c>
      <c r="H26" s="184">
        <f>'TTS Cash Flow'!B25</f>
        <v>0</v>
      </c>
      <c r="I26" s="114">
        <f>SUM('TTS Cash Flow'!F25:K25)</f>
        <v>1461543.1877915543</v>
      </c>
      <c r="J26" s="114">
        <f>SUM('TTS Cash Flow'!C25:E25)</f>
        <v>1430816.4250076378</v>
      </c>
      <c r="K26" s="184">
        <f>'Water Conveyance Cash Flow 2019'!C24</f>
        <v>0</v>
      </c>
      <c r="L26" s="114">
        <f>SUM('Water Conveyance Cash Flow 2019'!J24)</f>
        <v>87682.110111431801</v>
      </c>
      <c r="M26" s="185">
        <f>SUM('Water Conveyance Cash Flow 2019'!D24:H24)</f>
        <v>77136.074162334771</v>
      </c>
      <c r="N26" s="184">
        <f>'Sludge Disposal Cash Flow 2019'!C24</f>
        <v>0</v>
      </c>
      <c r="O26" s="185">
        <f>'Sludge Disposal Cash Flow 2019'!H24</f>
        <v>75915.810438475397</v>
      </c>
      <c r="P26" s="184">
        <f>'Salt Disposal Cash Flow 2019'!C24</f>
        <v>0</v>
      </c>
      <c r="Q26" s="186">
        <f>'Salt Disposal Cash Flow 2019'!H24-'Salt Disposal Cash Flow 2019'!C24</f>
        <v>79942.295853091622</v>
      </c>
      <c r="R26" s="197"/>
      <c r="S26" s="199">
        <f t="shared" si="2"/>
        <v>0</v>
      </c>
      <c r="T26" s="200">
        <f t="shared" si="3"/>
        <v>0</v>
      </c>
      <c r="U26" s="191">
        <f t="shared" si="4"/>
        <v>1623217.2700826619</v>
      </c>
      <c r="V26" s="185">
        <f t="shared" si="8"/>
        <v>284063.02226446581</v>
      </c>
      <c r="W26" s="184">
        <f t="shared" si="5"/>
        <v>1733605.3770810515</v>
      </c>
      <c r="X26" s="194">
        <f t="shared" si="6"/>
        <v>303380.94098918396</v>
      </c>
      <c r="Y26" s="193">
        <f t="shared" si="7"/>
        <v>3944266.6104173632</v>
      </c>
    </row>
    <row r="27" spans="1:25" ht="13" x14ac:dyDescent="0.3">
      <c r="A27" s="182">
        <v>16</v>
      </c>
      <c r="B27" s="209">
        <f>'Short Term ETS Cash Flow 2019'!C26</f>
        <v>0</v>
      </c>
      <c r="C27" s="178">
        <f>'Short Term ETS Cash Flow 2019'!H26</f>
        <v>0</v>
      </c>
      <c r="D27" s="181">
        <f>SUM('Short Term ETS Cash Flow 2019'!D26:F26)</f>
        <v>0</v>
      </c>
      <c r="E27" s="180">
        <f>'Long Term ETS Cash Flow 2019'!C26</f>
        <v>0</v>
      </c>
      <c r="F27" s="178">
        <f>SUM('Long Term ETS Cash Flow 2019'!M26)</f>
        <v>73948.23473709813</v>
      </c>
      <c r="G27" s="181">
        <f>SUM('Long Term ETS Cash Flow 2019'!D26:J26)</f>
        <v>69794.771619511885</v>
      </c>
      <c r="H27" s="184">
        <f>'TTS Cash Flow'!B26</f>
        <v>0</v>
      </c>
      <c r="I27" s="114">
        <f>SUM('TTS Cash Flow'!F26:K26)</f>
        <v>1446858.1301654542</v>
      </c>
      <c r="J27" s="114">
        <f>SUM('TTS Cash Flow'!C26:E26)</f>
        <v>1430816.4250076378</v>
      </c>
      <c r="K27" s="184">
        <f>'Water Conveyance Cash Flow 2019'!C25</f>
        <v>0</v>
      </c>
      <c r="L27" s="114">
        <f>SUM('Water Conveyance Cash Flow 2019'!J25)</f>
        <v>87152.333756722903</v>
      </c>
      <c r="M27" s="185">
        <f>SUM('Water Conveyance Cash Flow 2019'!D25:H25)</f>
        <v>77136.074162334771</v>
      </c>
      <c r="N27" s="184">
        <f>'Sludge Disposal Cash Flow 2019'!C25</f>
        <v>0</v>
      </c>
      <c r="O27" s="185">
        <f>'Sludge Disposal Cash Flow 2019'!H25-'Sludge Disposal Cash Flow 2019'!C25</f>
        <v>75089.225497320047</v>
      </c>
      <c r="P27" s="184">
        <f>'Salt Disposal Cash Flow 2019'!C25</f>
        <v>0</v>
      </c>
      <c r="Q27" s="186">
        <f>'Salt Disposal Cash Flow 2019'!H25-'Salt Disposal Cash Flow 2019'!C25</f>
        <v>79031.25572469506</v>
      </c>
      <c r="R27" s="197"/>
      <c r="S27" s="199">
        <f t="shared" si="2"/>
        <v>0</v>
      </c>
      <c r="T27" s="200">
        <f t="shared" si="3"/>
        <v>0</v>
      </c>
      <c r="U27" s="191">
        <f t="shared" si="4"/>
        <v>1607958.6986592754</v>
      </c>
      <c r="V27" s="185">
        <f t="shared" si="8"/>
        <v>281392.77226537321</v>
      </c>
      <c r="W27" s="184">
        <f t="shared" si="5"/>
        <v>1731867.7520114996</v>
      </c>
      <c r="X27" s="194">
        <f t="shared" si="6"/>
        <v>303076.85660201241</v>
      </c>
      <c r="Y27" s="193">
        <f t="shared" si="7"/>
        <v>3924296.0795381609</v>
      </c>
    </row>
    <row r="28" spans="1:25" ht="13" x14ac:dyDescent="0.3">
      <c r="A28" s="182">
        <v>17</v>
      </c>
      <c r="B28" s="209">
        <f>'Short Term ETS Cash Flow 2019'!C27</f>
        <v>0</v>
      </c>
      <c r="C28" s="178">
        <f>'Short Term ETS Cash Flow 2019'!H27</f>
        <v>0</v>
      </c>
      <c r="D28" s="181">
        <f>SUM('Short Term ETS Cash Flow 2019'!D27:F27)</f>
        <v>0</v>
      </c>
      <c r="E28" s="180">
        <f>'Long Term ETS Cash Flow 2019'!C27</f>
        <v>0</v>
      </c>
      <c r="F28" s="178">
        <f>SUM('Long Term ETS Cash Flow 2019'!M27)</f>
        <v>73904.497294520348</v>
      </c>
      <c r="G28" s="181">
        <f>SUM('Long Term ETS Cash Flow 2019'!D27:J27)</f>
        <v>69794.771619511885</v>
      </c>
      <c r="H28" s="184">
        <f>'TTS Cash Flow'!B27</f>
        <v>0</v>
      </c>
      <c r="I28" s="114">
        <f>SUM('TTS Cash Flow'!F27:K27)</f>
        <v>1432308.8113881496</v>
      </c>
      <c r="J28" s="114">
        <f>SUM('TTS Cash Flow'!C27:E27)</f>
        <v>1430816.4250076378</v>
      </c>
      <c r="K28" s="184">
        <f>'Water Conveyance Cash Flow 2019'!C26</f>
        <v>0</v>
      </c>
      <c r="L28" s="114">
        <f>SUM('Water Conveyance Cash Flow 2019'!J26)</f>
        <v>86624.718225179749</v>
      </c>
      <c r="M28" s="185">
        <f>SUM('Water Conveyance Cash Flow 2019'!D26:H26)</f>
        <v>77136.074162334771</v>
      </c>
      <c r="N28" s="184">
        <f>'Sludge Disposal Cash Flow 2019'!C26</f>
        <v>0</v>
      </c>
      <c r="O28" s="185">
        <f>'Sludge Disposal Cash Flow 2019'!H26-'Sludge Disposal Cash Flow 2019'!C26</f>
        <v>74270.635131205418</v>
      </c>
      <c r="P28" s="184">
        <f>'Salt Disposal Cash Flow 2019'!C26</f>
        <v>0</v>
      </c>
      <c r="Q28" s="186">
        <f>'Salt Disposal Cash Flow 2019'!H26-'Salt Disposal Cash Flow 2019'!C26</f>
        <v>78122.581873327494</v>
      </c>
      <c r="R28" s="197"/>
      <c r="S28" s="199">
        <f t="shared" si="2"/>
        <v>0</v>
      </c>
      <c r="T28" s="200">
        <f t="shared" si="3"/>
        <v>0</v>
      </c>
      <c r="U28" s="191">
        <f t="shared" si="4"/>
        <v>1592838.0269078496</v>
      </c>
      <c r="V28" s="185">
        <f t="shared" si="8"/>
        <v>278746.65470887366</v>
      </c>
      <c r="W28" s="184">
        <f t="shared" si="5"/>
        <v>1730140.4877940174</v>
      </c>
      <c r="X28" s="194">
        <f t="shared" si="6"/>
        <v>302774.58536395303</v>
      </c>
      <c r="Y28" s="193">
        <f t="shared" si="7"/>
        <v>3904499.7547746939</v>
      </c>
    </row>
    <row r="29" spans="1:25" ht="13" x14ac:dyDescent="0.3">
      <c r="A29" s="182">
        <v>18</v>
      </c>
      <c r="B29" s="209">
        <f>'Short Term ETS Cash Flow 2019'!C28</f>
        <v>0</v>
      </c>
      <c r="C29" s="178">
        <f>'Short Term ETS Cash Flow 2019'!H28</f>
        <v>0</v>
      </c>
      <c r="D29" s="181">
        <f>SUM('Short Term ETS Cash Flow 2019'!D28:F28)</f>
        <v>0</v>
      </c>
      <c r="E29" s="180">
        <f>'Long Term ETS Cash Flow 2019'!C28</f>
        <v>0</v>
      </c>
      <c r="F29" s="178">
        <f>SUM('Long Term ETS Cash Flow 2019'!M28)</f>
        <v>72083.943598941492</v>
      </c>
      <c r="G29" s="181">
        <f>SUM('Long Term ETS Cash Flow 2019'!D28:J28)</f>
        <v>69794.771619511885</v>
      </c>
      <c r="H29" s="184">
        <f>'TTS Cash Flow'!B28</f>
        <v>0</v>
      </c>
      <c r="I29" s="114">
        <f>SUM('TTS Cash Flow'!F28:K28)</f>
        <v>1417891.1269027267</v>
      </c>
      <c r="J29" s="114">
        <f>SUM('TTS Cash Flow'!C28:E28)</f>
        <v>1430816.4250076378</v>
      </c>
      <c r="K29" s="184">
        <f>'Water Conveyance Cash Flow 2019'!C27</f>
        <v>0</v>
      </c>
      <c r="L29" s="114">
        <f>SUM('Water Conveyance Cash Flow 2019'!J27)</f>
        <v>86099.045033758914</v>
      </c>
      <c r="M29" s="185">
        <f>SUM('Water Conveyance Cash Flow 2019'!D27:H27)</f>
        <v>77136.074162334771</v>
      </c>
      <c r="N29" s="184">
        <f>'Sludge Disposal Cash Flow 2019'!C27</f>
        <v>0</v>
      </c>
      <c r="O29" s="185">
        <f>'Sludge Disposal Cash Flow 2019'!H27-'Sludge Disposal Cash Flow 2019'!C27</f>
        <v>73459.80323161553</v>
      </c>
      <c r="P29" s="184">
        <f>'Salt Disposal Cash Flow 2019'!C27</f>
        <v>0</v>
      </c>
      <c r="Q29" s="186">
        <f>'Salt Disposal Cash Flow 2019'!H27-'Salt Disposal Cash Flow 2019'!C27</f>
        <v>77216.165358754268</v>
      </c>
      <c r="R29" s="197"/>
      <c r="S29" s="199">
        <f t="shared" si="2"/>
        <v>0</v>
      </c>
      <c r="T29" s="200">
        <f t="shared" si="3"/>
        <v>0</v>
      </c>
      <c r="U29" s="191">
        <f t="shared" si="4"/>
        <v>1576074.1155354271</v>
      </c>
      <c r="V29" s="185">
        <f t="shared" si="8"/>
        <v>275812.97021869972</v>
      </c>
      <c r="W29" s="184">
        <f t="shared" si="5"/>
        <v>1728423.2393798544</v>
      </c>
      <c r="X29" s="194">
        <f t="shared" si="6"/>
        <v>302474.06689147447</v>
      </c>
      <c r="Y29" s="193">
        <f t="shared" si="7"/>
        <v>3882784.3920254558</v>
      </c>
    </row>
    <row r="30" spans="1:25" ht="13" x14ac:dyDescent="0.3">
      <c r="A30" s="182">
        <v>19</v>
      </c>
      <c r="B30" s="209">
        <f>'Short Term ETS Cash Flow 2019'!C29</f>
        <v>0</v>
      </c>
      <c r="C30" s="178">
        <f>'Short Term ETS Cash Flow 2019'!H29</f>
        <v>0</v>
      </c>
      <c r="D30" s="181">
        <f>SUM('Short Term ETS Cash Flow 2019'!D29:F29)</f>
        <v>0</v>
      </c>
      <c r="E30" s="180">
        <f>'Long Term ETS Cash Flow 2019'!C29</f>
        <v>0</v>
      </c>
      <c r="F30" s="178">
        <f>SUM('Long Term ETS Cash Flow 2019'!M29)</f>
        <v>72040.206156363711</v>
      </c>
      <c r="G30" s="181">
        <f>SUM('Long Term ETS Cash Flow 2019'!D29:J29)</f>
        <v>69794.771619511885</v>
      </c>
      <c r="H30" s="184">
        <f>'TTS Cash Flow'!B29</f>
        <v>0</v>
      </c>
      <c r="I30" s="114">
        <f>SUM('TTS Cash Flow'!F29:K29)</f>
        <v>1403621.6687439273</v>
      </c>
      <c r="J30" s="114">
        <f>SUM('TTS Cash Flow'!C29:E29)</f>
        <v>1430816.4250076378</v>
      </c>
      <c r="K30" s="184">
        <f>'Water Conveyance Cash Flow 2019'!C28</f>
        <v>0</v>
      </c>
      <c r="L30" s="114">
        <f>SUM('Water Conveyance Cash Flow 2019'!J28)</f>
        <v>85576.206786025417</v>
      </c>
      <c r="M30" s="185">
        <f>SUM('Water Conveyance Cash Flow 2019'!D28:H28)</f>
        <v>77136.074162334771</v>
      </c>
      <c r="N30" s="184">
        <f>'Sludge Disposal Cash Flow 2019'!C28</f>
        <v>0</v>
      </c>
      <c r="O30" s="185">
        <f>'Sludge Disposal Cash Flow 2019'!H28-'Sludge Disposal Cash Flow 2019'!C28</f>
        <v>72657.664261047918</v>
      </c>
      <c r="P30" s="184">
        <f>'Salt Disposal Cash Flow 2019'!C28</f>
        <v>0</v>
      </c>
      <c r="Q30" s="186">
        <f>'Salt Disposal Cash Flow 2019'!H28-'Salt Disposal Cash Flow 2019'!C28</f>
        <v>76312.393245722342</v>
      </c>
      <c r="R30" s="197"/>
      <c r="S30" s="199">
        <f t="shared" si="2"/>
        <v>0</v>
      </c>
      <c r="T30" s="200">
        <f t="shared" si="3"/>
        <v>0</v>
      </c>
      <c r="U30" s="191">
        <f t="shared" si="4"/>
        <v>1561238.0816863163</v>
      </c>
      <c r="V30" s="185">
        <f t="shared" si="8"/>
        <v>273216.66429510532</v>
      </c>
      <c r="W30" s="184">
        <f t="shared" si="5"/>
        <v>1726717.3282962549</v>
      </c>
      <c r="X30" s="194">
        <f t="shared" si="6"/>
        <v>302175.5324518446</v>
      </c>
      <c r="Y30" s="193">
        <f t="shared" si="7"/>
        <v>3863347.6067295214</v>
      </c>
    </row>
    <row r="31" spans="1:25" ht="13" x14ac:dyDescent="0.3">
      <c r="A31" s="182">
        <v>20</v>
      </c>
      <c r="B31" s="209">
        <f>'Short Term ETS Cash Flow 2019'!C30</f>
        <v>0</v>
      </c>
      <c r="C31" s="178">
        <f>'Short Term ETS Cash Flow 2019'!H30</f>
        <v>0</v>
      </c>
      <c r="D31" s="181">
        <f>SUM('Short Term ETS Cash Flow 2019'!D30:F30)</f>
        <v>0</v>
      </c>
      <c r="E31" s="180">
        <f>'Long Term ETS Cash Flow 2019'!C30</f>
        <v>0</v>
      </c>
      <c r="F31" s="178">
        <f>SUM('Long Term ETS Cash Flow 2019'!M30)</f>
        <v>70219.652460784841</v>
      </c>
      <c r="G31" s="181">
        <f>SUM('Long Term ETS Cash Flow 2019'!D30:J30)</f>
        <v>69794.771619511885</v>
      </c>
      <c r="H31" s="184">
        <f>'TTS Cash Flow'!B30</f>
        <v>0</v>
      </c>
      <c r="I31" s="114">
        <f>SUM('TTS Cash Flow'!F30:K30)</f>
        <v>1389500.0800994842</v>
      </c>
      <c r="J31" s="114">
        <f>SUM('TTS Cash Flow'!C30:E30)</f>
        <v>1430816.4250076378</v>
      </c>
      <c r="K31" s="184">
        <f>'Water Conveyance Cash Flow 2019'!C29</f>
        <v>0</v>
      </c>
      <c r="L31" s="114">
        <f>SUM('Water Conveyance Cash Flow 2019'!J29)</f>
        <v>85055.992941735793</v>
      </c>
      <c r="M31" s="185">
        <f>SUM('Water Conveyance Cash Flow 2019'!D29:H29)</f>
        <v>77136.074162334771</v>
      </c>
      <c r="N31" s="184">
        <f>'Sludge Disposal Cash Flow 2019'!C29</f>
        <v>0</v>
      </c>
      <c r="O31" s="185">
        <f>'Sludge Disposal Cash Flow 2019'!H29-'Sludge Disposal Cash Flow 2019'!C29</f>
        <v>71864.176297500599</v>
      </c>
      <c r="P31" s="184">
        <f>'Salt Disposal Cash Flow 2019'!C29</f>
        <v>0</v>
      </c>
      <c r="Q31" s="186">
        <f>'Salt Disposal Cash Flow 2019'!H29-'Salt Disposal Cash Flow 2019'!C29</f>
        <v>75411.231838140593</v>
      </c>
      <c r="R31" s="197"/>
      <c r="S31" s="199">
        <f t="shared" si="2"/>
        <v>0</v>
      </c>
      <c r="T31" s="200">
        <f t="shared" si="3"/>
        <v>0</v>
      </c>
      <c r="U31" s="191">
        <f t="shared" si="4"/>
        <v>1544775.7255020048</v>
      </c>
      <c r="V31" s="185">
        <f t="shared" si="8"/>
        <v>270335.75196285086</v>
      </c>
      <c r="W31" s="184">
        <f t="shared" si="5"/>
        <v>1725022.6789251256</v>
      </c>
      <c r="X31" s="194">
        <f t="shared" si="6"/>
        <v>301878.96881189698</v>
      </c>
      <c r="Y31" s="193">
        <f t="shared" si="7"/>
        <v>3842013.1252018786</v>
      </c>
    </row>
    <row r="32" spans="1:25" ht="13" x14ac:dyDescent="0.3">
      <c r="A32" s="182">
        <v>21</v>
      </c>
      <c r="B32" s="209">
        <f>'Short Term ETS Cash Flow 2019'!C31</f>
        <v>0</v>
      </c>
      <c r="C32" s="178">
        <f>'Short Term ETS Cash Flow 2019'!H31</f>
        <v>0</v>
      </c>
      <c r="D32" s="181">
        <f>SUM('Short Term ETS Cash Flow 2019'!D31:F31)</f>
        <v>0</v>
      </c>
      <c r="E32" s="180">
        <f>'Long Term ETS Cash Flow 2019'!C31</f>
        <v>0</v>
      </c>
      <c r="F32" s="178">
        <f>SUM('Long Term ETS Cash Flow 2019'!M31)</f>
        <v>70175.915018207059</v>
      </c>
      <c r="G32" s="181">
        <f>SUM('Long Term ETS Cash Flow 2019'!D31:J31)</f>
        <v>69794.771619511885</v>
      </c>
      <c r="H32" s="184">
        <f>'TTS Cash Flow'!B31</f>
        <v>0</v>
      </c>
      <c r="I32" s="114">
        <f>SUM('TTS Cash Flow'!F31:K31)</f>
        <v>1375845.9878922696</v>
      </c>
      <c r="J32" s="114">
        <f>SUM('TTS Cash Flow'!C31:E31)</f>
        <v>1430816.4250076378</v>
      </c>
      <c r="K32" s="184">
        <f>'Water Conveyance Cash Flow 2019'!C30</f>
        <v>0</v>
      </c>
      <c r="L32" s="114">
        <f>SUM('Water Conveyance Cash Flow 2019'!J30)</f>
        <v>84550.638494616011</v>
      </c>
      <c r="M32" s="185">
        <f>SUM('Water Conveyance Cash Flow 2019'!D30:H30)</f>
        <v>77136.074162334771</v>
      </c>
      <c r="N32" s="184">
        <f>'Sludge Disposal Cash Flow 2019'!C30</f>
        <v>0</v>
      </c>
      <c r="O32" s="185">
        <f>'Sludge Disposal Cash Flow 2019'!H30-'Sludge Disposal Cash Flow 2019'!C30</f>
        <v>71096.880435820261</v>
      </c>
      <c r="P32" s="184">
        <f>'Salt Disposal Cash Flow 2019'!C30</f>
        <v>0</v>
      </c>
      <c r="Q32" s="186">
        <f>'Salt Disposal Cash Flow 2019'!H30-'Salt Disposal Cash Flow 2019'!C30</f>
        <v>74520.314651858658</v>
      </c>
      <c r="R32" s="197"/>
      <c r="S32" s="199">
        <f t="shared" si="2"/>
        <v>0</v>
      </c>
      <c r="T32" s="200">
        <f t="shared" si="3"/>
        <v>0</v>
      </c>
      <c r="U32" s="191">
        <f t="shared" si="4"/>
        <v>1530572.5414050927</v>
      </c>
      <c r="V32" s="185">
        <f t="shared" si="8"/>
        <v>267850.1947458912</v>
      </c>
      <c r="W32" s="184">
        <f t="shared" si="5"/>
        <v>1723364.4658771635</v>
      </c>
      <c r="X32" s="194">
        <f t="shared" si="6"/>
        <v>301588.78152850358</v>
      </c>
      <c r="Y32" s="193">
        <f t="shared" si="7"/>
        <v>3823375.983556651</v>
      </c>
    </row>
    <row r="33" spans="1:25" ht="13" x14ac:dyDescent="0.3">
      <c r="A33" s="182">
        <v>22</v>
      </c>
      <c r="B33" s="209">
        <f>'Short Term ETS Cash Flow 2019'!C32</f>
        <v>0</v>
      </c>
      <c r="C33" s="178">
        <f>'Short Term ETS Cash Flow 2019'!H32</f>
        <v>0</v>
      </c>
      <c r="D33" s="181">
        <f>SUM('Short Term ETS Cash Flow 2019'!D32:F32)</f>
        <v>0</v>
      </c>
      <c r="E33" s="180">
        <f>'Long Term ETS Cash Flow 2019'!C32</f>
        <v>0</v>
      </c>
      <c r="F33" s="178">
        <f>SUM('Long Term ETS Cash Flow 2019'!M32)</f>
        <v>69243.769449128755</v>
      </c>
      <c r="G33" s="181">
        <f>SUM('Long Term ETS Cash Flow 2019'!D32:J32)</f>
        <v>69794.771619511885</v>
      </c>
      <c r="H33" s="184">
        <f>'TTS Cash Flow'!B32</f>
        <v>0</v>
      </c>
      <c r="I33" s="114">
        <f>SUM('TTS Cash Flow'!F32:K32)</f>
        <v>1363073.1435224705</v>
      </c>
      <c r="J33" s="114">
        <f>SUM('TTS Cash Flow'!C32:E32)</f>
        <v>1430816.4250076378</v>
      </c>
      <c r="K33" s="184">
        <f>'Water Conveyance Cash Flow 2019'!C31</f>
        <v>0</v>
      </c>
      <c r="L33" s="114">
        <f>SUM('Water Conveyance Cash Flow 2019'!J31)</f>
        <v>84076.901082789816</v>
      </c>
      <c r="M33" s="185">
        <f>SUM('Water Conveyance Cash Flow 2019'!D31:H31)</f>
        <v>77136.074162334771</v>
      </c>
      <c r="N33" s="184">
        <f>'Sludge Disposal Cash Flow 2019'!C31</f>
        <v>0</v>
      </c>
      <c r="O33" s="185">
        <f>'Sludge Disposal Cash Flow 2019'!H31-'Sludge Disposal Cash Flow 2019'!C31</f>
        <v>70378.469223194901</v>
      </c>
      <c r="P33" s="184">
        <f>'Salt Disposal Cash Flow 2019'!C31</f>
        <v>0</v>
      </c>
      <c r="Q33" s="186">
        <f>'Salt Disposal Cash Flow 2019'!H31-'Salt Disposal Cash Flow 2019'!C31</f>
        <v>73649.353770141053</v>
      </c>
      <c r="R33" s="197"/>
      <c r="S33" s="199">
        <f t="shared" si="2"/>
        <v>0</v>
      </c>
      <c r="T33" s="200">
        <f t="shared" si="3"/>
        <v>0</v>
      </c>
      <c r="U33" s="191">
        <f t="shared" si="4"/>
        <v>1516393.814054389</v>
      </c>
      <c r="V33" s="185">
        <f t="shared" si="8"/>
        <v>265368.91745951807</v>
      </c>
      <c r="W33" s="184">
        <f t="shared" si="5"/>
        <v>1721775.0937828205</v>
      </c>
      <c r="X33" s="194">
        <f t="shared" si="6"/>
        <v>301310.64141199359</v>
      </c>
      <c r="Y33" s="193">
        <f t="shared" si="7"/>
        <v>3804848.4667087216</v>
      </c>
    </row>
    <row r="34" spans="1:25" ht="13" x14ac:dyDescent="0.3">
      <c r="A34" s="182">
        <v>23</v>
      </c>
      <c r="B34" s="209">
        <f>'Short Term ETS Cash Flow 2019'!C33</f>
        <v>0</v>
      </c>
      <c r="C34" s="178">
        <f>'Short Term ETS Cash Flow 2019'!H33</f>
        <v>0</v>
      </c>
      <c r="D34" s="181">
        <f>SUM('Short Term ETS Cash Flow 2019'!D33:F33)</f>
        <v>0</v>
      </c>
      <c r="E34" s="180">
        <f>'Long Term ETS Cash Flow 2019'!C33</f>
        <v>0</v>
      </c>
      <c r="F34" s="178">
        <f>SUM('Long Term ETS Cash Flow 2019'!M33)</f>
        <v>68311.623880050422</v>
      </c>
      <c r="G34" s="181">
        <f>SUM('Long Term ETS Cash Flow 2019'!D33:J33)</f>
        <v>69794.771619511885</v>
      </c>
      <c r="H34" s="184">
        <f>'TTS Cash Flow'!B33</f>
        <v>0</v>
      </c>
      <c r="I34" s="114">
        <f>SUM('TTS Cash Flow'!F33:K33)</f>
        <v>1351076.6849980939</v>
      </c>
      <c r="J34" s="114">
        <f>SUM('TTS Cash Flow'!C33:E33)</f>
        <v>1430816.4250076378</v>
      </c>
      <c r="K34" s="184">
        <f>'Water Conveyance Cash Flow 2019'!C32</f>
        <v>0</v>
      </c>
      <c r="L34" s="114">
        <f>SUM('Water Conveyance Cash Flow 2019'!J32)</f>
        <v>83631.738378384893</v>
      </c>
      <c r="M34" s="185">
        <f>SUM('Water Conveyance Cash Flow 2019'!D32:H32)</f>
        <v>77136.074162334771</v>
      </c>
      <c r="N34" s="184">
        <f>'Sludge Disposal Cash Flow 2019'!C32</f>
        <v>0</v>
      </c>
      <c r="O34" s="185">
        <f>'Sludge Disposal Cash Flow 2019'!H32-'Sludge Disposal Cash Flow 2019'!C32</f>
        <v>69703.162846462088</v>
      </c>
      <c r="P34" s="184">
        <f>'Salt Disposal Cash Flow 2019'!C32</f>
        <v>0</v>
      </c>
      <c r="Q34" s="186">
        <f>'Salt Disposal Cash Flow 2019'!H32-'Salt Disposal Cash Flow 2019'!C32</f>
        <v>72795.973075722897</v>
      </c>
      <c r="R34" s="197"/>
      <c r="S34" s="199">
        <f t="shared" si="2"/>
        <v>0</v>
      </c>
      <c r="T34" s="200">
        <f t="shared" si="3"/>
        <v>0</v>
      </c>
      <c r="U34" s="191">
        <f t="shared" si="4"/>
        <v>1503020.0472565291</v>
      </c>
      <c r="V34" s="185">
        <f t="shared" si="8"/>
        <v>263028.5082698926</v>
      </c>
      <c r="W34" s="184">
        <f t="shared" si="5"/>
        <v>1720246.4067116694</v>
      </c>
      <c r="X34" s="194">
        <f t="shared" si="6"/>
        <v>301043.12117454212</v>
      </c>
      <c r="Y34" s="193">
        <f t="shared" si="7"/>
        <v>3787338.0834126333</v>
      </c>
    </row>
    <row r="35" spans="1:25" ht="13" x14ac:dyDescent="0.3">
      <c r="A35" s="182">
        <v>24</v>
      </c>
      <c r="B35" s="209">
        <f>'Short Term ETS Cash Flow 2019'!C34</f>
        <v>0</v>
      </c>
      <c r="C35" s="178">
        <f>'Short Term ETS Cash Flow 2019'!H34</f>
        <v>0</v>
      </c>
      <c r="D35" s="181">
        <f>SUM('Short Term ETS Cash Flow 2019'!D34:F34)</f>
        <v>0</v>
      </c>
      <c r="E35" s="180">
        <f>'Long Term ETS Cash Flow 2019'!C34</f>
        <v>0</v>
      </c>
      <c r="F35" s="178">
        <f>SUM('Long Term ETS Cash Flow 2019'!M34)</f>
        <v>68267.88643747264</v>
      </c>
      <c r="G35" s="181">
        <f>SUM('Long Term ETS Cash Flow 2019'!D34:J34)</f>
        <v>69794.771619511885</v>
      </c>
      <c r="H35" s="184">
        <f>'TTS Cash Flow'!B34</f>
        <v>0</v>
      </c>
      <c r="I35" s="114">
        <f>SUM('TTS Cash Flow'!F34:K34)</f>
        <v>1339787.2814401917</v>
      </c>
      <c r="J35" s="114">
        <f>SUM('TTS Cash Flow'!C34:E34)</f>
        <v>1430816.4250076378</v>
      </c>
      <c r="K35" s="184">
        <f>'Water Conveyance Cash Flow 2019'!C33</f>
        <v>0</v>
      </c>
      <c r="L35" s="114">
        <f>SUM('Water Conveyance Cash Flow 2019'!J33)</f>
        <v>83212.608639769358</v>
      </c>
      <c r="M35" s="185">
        <f>SUM('Water Conveyance Cash Flow 2019'!D33:H33)</f>
        <v>77136.074162334771</v>
      </c>
      <c r="N35" s="184">
        <f>'Sludge Disposal Cash Flow 2019'!C33</f>
        <v>0</v>
      </c>
      <c r="O35" s="185">
        <f>'Sludge Disposal Cash Flow 2019'!H33-'Sludge Disposal Cash Flow 2019'!C33</f>
        <v>69067.102478891858</v>
      </c>
      <c r="P35" s="184">
        <f>'Salt Disposal Cash Flow 2019'!C33</f>
        <v>0</v>
      </c>
      <c r="Q35" s="186">
        <f>'Salt Disposal Cash Flow 2019'!H33-'Salt Disposal Cash Flow 2019'!C33</f>
        <v>71958.57227731208</v>
      </c>
      <c r="R35" s="197"/>
      <c r="S35" s="199">
        <f t="shared" si="2"/>
        <v>0</v>
      </c>
      <c r="T35" s="200">
        <f t="shared" si="3"/>
        <v>0</v>
      </c>
      <c r="U35" s="191">
        <f t="shared" si="4"/>
        <v>1491267.7765174336</v>
      </c>
      <c r="V35" s="185">
        <f t="shared" si="8"/>
        <v>260971.86089055086</v>
      </c>
      <c r="W35" s="184">
        <f t="shared" si="5"/>
        <v>1718772.9455456885</v>
      </c>
      <c r="X35" s="194">
        <f t="shared" si="6"/>
        <v>300785.26547049545</v>
      </c>
      <c r="Y35" s="193">
        <f t="shared" si="7"/>
        <v>3771797.8484241683</v>
      </c>
    </row>
    <row r="36" spans="1:25" ht="13" x14ac:dyDescent="0.3">
      <c r="A36" s="182">
        <v>25</v>
      </c>
      <c r="B36" s="209">
        <f>'Short Term ETS Cash Flow 2019'!C35</f>
        <v>0</v>
      </c>
      <c r="C36" s="178">
        <f>'Short Term ETS Cash Flow 2019'!H35</f>
        <v>0</v>
      </c>
      <c r="D36" s="181">
        <f>SUM('Short Term ETS Cash Flow 2019'!D35:F35)</f>
        <v>0</v>
      </c>
      <c r="E36" s="180">
        <f>'Long Term ETS Cash Flow 2019'!C35</f>
        <v>0</v>
      </c>
      <c r="F36" s="178">
        <f>SUM('Long Term ETS Cash Flow 2019'!M35)</f>
        <v>67335.740868394321</v>
      </c>
      <c r="G36" s="181">
        <f>SUM('Long Term ETS Cash Flow 2019'!D35:J35)</f>
        <v>69794.771619511885</v>
      </c>
      <c r="H36" s="184">
        <f>'TTS Cash Flow'!B35</f>
        <v>0</v>
      </c>
      <c r="I36" s="114">
        <f>SUM('TTS Cash Flow'!F35:K35)</f>
        <v>1329089.1770474082</v>
      </c>
      <c r="J36" s="114">
        <f>SUM('TTS Cash Flow'!C35:E35)</f>
        <v>1309432.1175076379</v>
      </c>
      <c r="K36" s="184">
        <f>'Water Conveyance Cash Flow 2019'!C34</f>
        <v>0</v>
      </c>
      <c r="L36" s="114">
        <f>SUM('Water Conveyance Cash Flow 2019'!J34)</f>
        <v>82815.468256430075</v>
      </c>
      <c r="M36" s="185">
        <f>SUM('Water Conveyance Cash Flow 2019'!D34:H34)</f>
        <v>77136.074162334771</v>
      </c>
      <c r="N36" s="184">
        <f>'Sludge Disposal Cash Flow 2019'!C34</f>
        <v>0</v>
      </c>
      <c r="O36" s="185">
        <f>'Sludge Disposal Cash Flow 2019'!H34-'Sludge Disposal Cash Flow 2019'!C34</f>
        <v>68463.906901305032</v>
      </c>
      <c r="P36" s="184">
        <f>'Salt Disposal Cash Flow 2019'!C34</f>
        <v>0</v>
      </c>
      <c r="Q36" s="186">
        <f>'Salt Disposal Cash Flow 2019'!H34-'Salt Disposal Cash Flow 2019'!C34</f>
        <v>71134.474338186905</v>
      </c>
      <c r="R36" s="197"/>
      <c r="S36" s="199">
        <f t="shared" si="2"/>
        <v>0</v>
      </c>
      <c r="T36" s="200">
        <f t="shared" si="3"/>
        <v>0</v>
      </c>
      <c r="U36" s="191">
        <f t="shared" si="4"/>
        <v>1479240.3861722325</v>
      </c>
      <c r="V36" s="185">
        <f t="shared" si="8"/>
        <v>258867.06758014066</v>
      </c>
      <c r="W36" s="184">
        <f t="shared" si="5"/>
        <v>1595961.3445289764</v>
      </c>
      <c r="X36" s="194">
        <f t="shared" si="6"/>
        <v>279293.23529257084</v>
      </c>
      <c r="Y36" s="193">
        <f t="shared" si="7"/>
        <v>3613362.0335739199</v>
      </c>
    </row>
    <row r="37" spans="1:25" ht="13" x14ac:dyDescent="0.3">
      <c r="A37" s="182">
        <v>26</v>
      </c>
      <c r="B37" s="209">
        <f>'Short Term ETS Cash Flow 2019'!C36</f>
        <v>0</v>
      </c>
      <c r="C37" s="178">
        <f>'Short Term ETS Cash Flow 2019'!H36</f>
        <v>0</v>
      </c>
      <c r="D37" s="181">
        <f>SUM('Short Term ETS Cash Flow 2019'!D36:F36)</f>
        <v>0</v>
      </c>
      <c r="E37" s="180">
        <f>'Long Term ETS Cash Flow 2019'!C36</f>
        <v>0</v>
      </c>
      <c r="F37" s="178">
        <f>SUM('Long Term ETS Cash Flow 2019'!M36)</f>
        <v>66403.595299316017</v>
      </c>
      <c r="G37" s="181">
        <f>SUM('Long Term ETS Cash Flow 2019'!D36:J36)</f>
        <v>69794.771619511885</v>
      </c>
      <c r="H37" s="184">
        <f>'TTS Cash Flow'!B36</f>
        <v>0</v>
      </c>
      <c r="I37" s="114">
        <f>SUM('TTS Cash Flow'!F36:K36)</f>
        <v>1318926.1782627676</v>
      </c>
      <c r="J37" s="114">
        <f>SUM('TTS Cash Flow'!C36:E36)</f>
        <v>1309432.1175076379</v>
      </c>
      <c r="K37" s="184">
        <f>'Water Conveyance Cash Flow 2019'!C35</f>
        <v>0</v>
      </c>
      <c r="L37" s="114">
        <f>SUM('Water Conveyance Cash Flow 2019'!J35)</f>
        <v>82438.448809224137</v>
      </c>
      <c r="M37" s="185">
        <f>SUM('Water Conveyance Cash Flow 2019'!D35:H35)</f>
        <v>77136.074162334771</v>
      </c>
      <c r="N37" s="184">
        <f>'Sludge Disposal Cash Flow 2019'!C35</f>
        <v>0</v>
      </c>
      <c r="O37" s="185">
        <f>'Sludge Disposal Cash Flow 2019'!H35-'Sludge Disposal Cash Flow 2019'!C35</f>
        <v>67890.488722454626</v>
      </c>
      <c r="P37" s="184">
        <f>'Salt Disposal Cash Flow 2019'!C35</f>
        <v>0</v>
      </c>
      <c r="Q37" s="186">
        <f>'Salt Disposal Cash Flow 2019'!H35-'Salt Disposal Cash Flow 2019'!C35</f>
        <v>70322.384394044377</v>
      </c>
      <c r="R37" s="197"/>
      <c r="S37" s="199">
        <f t="shared" si="2"/>
        <v>0</v>
      </c>
      <c r="T37" s="200">
        <f t="shared" si="3"/>
        <v>0</v>
      </c>
      <c r="U37" s="191">
        <f t="shared" si="4"/>
        <v>1467768.2223713079</v>
      </c>
      <c r="V37" s="185">
        <f t="shared" si="8"/>
        <v>256859.43891497888</v>
      </c>
      <c r="W37" s="184">
        <f t="shared" si="5"/>
        <v>1594575.8364059832</v>
      </c>
      <c r="X37" s="194">
        <f t="shared" si="6"/>
        <v>279050.77137104701</v>
      </c>
      <c r="Y37" s="193">
        <f t="shared" si="7"/>
        <v>3598254.2690633172</v>
      </c>
    </row>
    <row r="38" spans="1:25" ht="13" x14ac:dyDescent="0.3">
      <c r="A38" s="182">
        <v>27</v>
      </c>
      <c r="B38" s="209">
        <f>'Short Term ETS Cash Flow 2019'!C37</f>
        <v>0</v>
      </c>
      <c r="C38" s="178">
        <f>'Short Term ETS Cash Flow 2019'!H37</f>
        <v>0</v>
      </c>
      <c r="D38" s="181">
        <f>SUM('Short Term ETS Cash Flow 2019'!D37:F37)</f>
        <v>0</v>
      </c>
      <c r="E38" s="180">
        <f>'Long Term ETS Cash Flow 2019'!C37</f>
        <v>0</v>
      </c>
      <c r="F38" s="178">
        <f>SUM('Long Term ETS Cash Flow 2019'!M37)</f>
        <v>66359.857856738236</v>
      </c>
      <c r="G38" s="181">
        <f>SUM('Long Term ETS Cash Flow 2019'!D37:J37)</f>
        <v>69794.771619511885</v>
      </c>
      <c r="H38" s="184">
        <f>'TTS Cash Flow'!B37</f>
        <v>0</v>
      </c>
      <c r="I38" s="114">
        <f>SUM('TTS Cash Flow'!F37:K37)</f>
        <v>1309259.5826958159</v>
      </c>
      <c r="J38" s="114">
        <f>SUM('TTS Cash Flow'!C37:E37)</f>
        <v>1309432.1175076379</v>
      </c>
      <c r="K38" s="184">
        <f>'Water Conveyance Cash Flow 2019'!C36</f>
        <v>0</v>
      </c>
      <c r="L38" s="114">
        <f>SUM('Water Conveyance Cash Flow 2019'!J36)</f>
        <v>82080.125517133871</v>
      </c>
      <c r="M38" s="185">
        <f>SUM('Water Conveyance Cash Flow 2019'!D36:H36)</f>
        <v>77136.074162334771</v>
      </c>
      <c r="N38" s="184">
        <f>'Sludge Disposal Cash Flow 2019'!C36</f>
        <v>0</v>
      </c>
      <c r="O38" s="185">
        <f>'Sludge Disposal Cash Flow 2019'!H36-'Sludge Disposal Cash Flow 2019'!C36</f>
        <v>67344.70147335279</v>
      </c>
      <c r="P38" s="184">
        <f>'Salt Disposal Cash Flow 2019'!C36</f>
        <v>0</v>
      </c>
      <c r="Q38" s="186">
        <f>'Salt Disposal Cash Flow 2019'!H36-'Salt Disposal Cash Flow 2019'!C36</f>
        <v>69521.415453050824</v>
      </c>
      <c r="R38" s="197"/>
      <c r="S38" s="199">
        <f t="shared" si="2"/>
        <v>0</v>
      </c>
      <c r="T38" s="200">
        <f t="shared" si="3"/>
        <v>0</v>
      </c>
      <c r="U38" s="191">
        <f t="shared" si="4"/>
        <v>1457699.5660696879</v>
      </c>
      <c r="V38" s="185">
        <f t="shared" si="8"/>
        <v>255097.42406219538</v>
      </c>
      <c r="W38" s="184">
        <f t="shared" si="5"/>
        <v>1593229.0802158879</v>
      </c>
      <c r="X38" s="194">
        <f t="shared" si="6"/>
        <v>278815.08903778036</v>
      </c>
      <c r="Y38" s="193">
        <f t="shared" si="7"/>
        <v>3584841.1593855512</v>
      </c>
    </row>
    <row r="39" spans="1:25" ht="13" x14ac:dyDescent="0.3">
      <c r="A39" s="182">
        <v>28</v>
      </c>
      <c r="B39" s="209">
        <f>'Short Term ETS Cash Flow 2019'!C38</f>
        <v>0</v>
      </c>
      <c r="C39" s="178">
        <f>'Short Term ETS Cash Flow 2019'!H38</f>
        <v>0</v>
      </c>
      <c r="D39" s="181">
        <f>SUM('Short Term ETS Cash Flow 2019'!D38:F38)</f>
        <v>0</v>
      </c>
      <c r="E39" s="180">
        <f>'Long Term ETS Cash Flow 2019'!C38</f>
        <v>0</v>
      </c>
      <c r="F39" s="178">
        <f>SUM('Long Term ETS Cash Flow 2019'!M38)</f>
        <v>65427.712287659902</v>
      </c>
      <c r="G39" s="181">
        <f>SUM('Long Term ETS Cash Flow 2019'!D38:J38)</f>
        <v>69794.771619511885</v>
      </c>
      <c r="H39" s="184">
        <f>'TTS Cash Flow'!B38</f>
        <v>0</v>
      </c>
      <c r="I39" s="114">
        <f>SUM('TTS Cash Flow'!F38:K38)</f>
        <v>1300055.6208059445</v>
      </c>
      <c r="J39" s="114">
        <f>SUM('TTS Cash Flow'!C38:E38)</f>
        <v>1309432.1175076379</v>
      </c>
      <c r="K39" s="184">
        <f>'Water Conveyance Cash Flow 2019'!C37</f>
        <v>0</v>
      </c>
      <c r="L39" s="114">
        <f>SUM('Water Conveyance Cash Flow 2019'!J37)</f>
        <v>81739.477743830372</v>
      </c>
      <c r="M39" s="185">
        <f>SUM('Water Conveyance Cash Flow 2019'!D37:H37)</f>
        <v>77136.074162334771</v>
      </c>
      <c r="N39" s="184">
        <f>'Sludge Disposal Cash Flow 2019'!C37</f>
        <v>0</v>
      </c>
      <c r="O39" s="185">
        <f>'Sludge Disposal Cash Flow 2019'!H37-'Sludge Disposal Cash Flow 2019'!C37</f>
        <v>66824.684642756954</v>
      </c>
      <c r="P39" s="184">
        <f>'Salt Disposal Cash Flow 2019'!C37</f>
        <v>0</v>
      </c>
      <c r="Q39" s="186">
        <f>'Salt Disposal Cash Flow 2019'!H37-'Salt Disposal Cash Flow 2019'!C37</f>
        <v>68730.75148552288</v>
      </c>
      <c r="R39" s="197"/>
      <c r="S39" s="199">
        <f t="shared" si="2"/>
        <v>0</v>
      </c>
      <c r="T39" s="200">
        <f t="shared" si="3"/>
        <v>0</v>
      </c>
      <c r="U39" s="191">
        <f t="shared" si="4"/>
        <v>1447222.8108374348</v>
      </c>
      <c r="V39" s="185">
        <f t="shared" si="8"/>
        <v>253263.99189655107</v>
      </c>
      <c r="W39" s="184">
        <f t="shared" si="5"/>
        <v>1591918.3994177643</v>
      </c>
      <c r="X39" s="194">
        <f t="shared" si="6"/>
        <v>278585.71989810874</v>
      </c>
      <c r="Y39" s="193">
        <f t="shared" si="7"/>
        <v>3570990.9220498591</v>
      </c>
    </row>
    <row r="40" spans="1:25" ht="13" x14ac:dyDescent="0.3">
      <c r="A40" s="182">
        <v>29</v>
      </c>
      <c r="B40" s="209">
        <f>'Short Term ETS Cash Flow 2019'!C39</f>
        <v>0</v>
      </c>
      <c r="C40" s="178">
        <f>'Short Term ETS Cash Flow 2019'!H39</f>
        <v>0</v>
      </c>
      <c r="D40" s="181">
        <f>SUM('Short Term ETS Cash Flow 2019'!D39:F39)</f>
        <v>0</v>
      </c>
      <c r="E40" s="180">
        <f>'Long Term ETS Cash Flow 2019'!C39</f>
        <v>0</v>
      </c>
      <c r="F40" s="178">
        <f>SUM('Long Term ETS Cash Flow 2019'!M39)</f>
        <v>64495.566718581584</v>
      </c>
      <c r="G40" s="181">
        <f>SUM('Long Term ETS Cash Flow 2019'!D39:J39)</f>
        <v>69794.771619511885</v>
      </c>
      <c r="H40" s="184">
        <f>'TTS Cash Flow'!B39</f>
        <v>0</v>
      </c>
      <c r="I40" s="114">
        <f>SUM('TTS Cash Flow'!F39:K39)</f>
        <v>1291279.5365096086</v>
      </c>
      <c r="J40" s="114">
        <f>SUM('TTS Cash Flow'!C39:E39)</f>
        <v>1309432.1175076379</v>
      </c>
      <c r="K40" s="184">
        <f>'Water Conveyance Cash Flow 2019'!C38</f>
        <v>0</v>
      </c>
      <c r="L40" s="114">
        <f>SUM('Water Conveyance Cash Flow 2019'!J38)</f>
        <v>81415.058720979199</v>
      </c>
      <c r="M40" s="185">
        <f>SUM('Water Conveyance Cash Flow 2019'!D38:H38)</f>
        <v>77136.074162334771</v>
      </c>
      <c r="N40" s="184">
        <f>'Sludge Disposal Cash Flow 2019'!C38</f>
        <v>0</v>
      </c>
      <c r="O40" s="185">
        <f>'Sludge Disposal Cash Flow 2019'!H38-'Sludge Disposal Cash Flow 2019'!C38</f>
        <v>66328.49755527651</v>
      </c>
      <c r="P40" s="184">
        <f>'Salt Disposal Cash Flow 2019'!C38</f>
        <v>0</v>
      </c>
      <c r="Q40" s="186">
        <f>'Salt Disposal Cash Flow 2019'!H38-'Salt Disposal Cash Flow 2019'!C38</f>
        <v>67949.651961093608</v>
      </c>
      <c r="R40" s="197"/>
      <c r="S40" s="199">
        <f t="shared" si="2"/>
        <v>0</v>
      </c>
      <c r="T40" s="200">
        <f t="shared" si="3"/>
        <v>0</v>
      </c>
      <c r="U40" s="191">
        <f t="shared" si="4"/>
        <v>1437190.1619491694</v>
      </c>
      <c r="V40" s="185">
        <f t="shared" si="8"/>
        <v>251508.27834110463</v>
      </c>
      <c r="W40" s="184">
        <f t="shared" si="5"/>
        <v>1590641.1128058545</v>
      </c>
      <c r="X40" s="194">
        <f t="shared" si="6"/>
        <v>278362.19474102452</v>
      </c>
      <c r="Y40" s="193">
        <f t="shared" si="7"/>
        <v>3557701.7478371533</v>
      </c>
    </row>
    <row r="41" spans="1:25" ht="13" x14ac:dyDescent="0.3">
      <c r="A41" s="182">
        <v>30</v>
      </c>
      <c r="B41" s="209">
        <f>'Short Term ETS Cash Flow 2019'!C40</f>
        <v>0</v>
      </c>
      <c r="C41" s="178">
        <f>'Short Term ETS Cash Flow 2019'!H40</f>
        <v>0</v>
      </c>
      <c r="D41" s="181">
        <f>SUM('Short Term ETS Cash Flow 2019'!D40:F40)</f>
        <v>0</v>
      </c>
      <c r="E41" s="180">
        <f>'Long Term ETS Cash Flow 2019'!C40</f>
        <v>0</v>
      </c>
      <c r="F41" s="178">
        <f>SUM('Long Term ETS Cash Flow 2019'!M40)</f>
        <v>63563.421149503265</v>
      </c>
      <c r="G41" s="181">
        <f>SUM('Long Term ETS Cash Flow 2019'!D40:J40)</f>
        <v>69794.771619511885</v>
      </c>
      <c r="H41" s="184">
        <f>'TTS Cash Flow'!B40</f>
        <v>0</v>
      </c>
      <c r="I41" s="114">
        <f>SUM('TTS Cash Flow'!F40:K40)</f>
        <v>1282906.4028029884</v>
      </c>
      <c r="J41" s="114">
        <f>SUM('TTS Cash Flow'!C40:E40)</f>
        <v>1309432.1175076379</v>
      </c>
      <c r="K41" s="184">
        <f>'Water Conveyance Cash Flow 2019'!C39</f>
        <v>0</v>
      </c>
      <c r="L41" s="114">
        <f>SUM('Water Conveyance Cash Flow 2019'!J39)</f>
        <v>81106.119913891904</v>
      </c>
      <c r="M41" s="185">
        <f>SUM('Water Conveyance Cash Flow 2019'!D39:H39)</f>
        <v>77136.074162334771</v>
      </c>
      <c r="N41" s="184">
        <f>'Sludge Disposal Cash Flow 2019'!C39</f>
        <v>0</v>
      </c>
      <c r="O41" s="185">
        <f>'Sludge Disposal Cash Flow 2019'!H39-'Sludge Disposal Cash Flow 2019'!C39</f>
        <v>65854.764144432411</v>
      </c>
      <c r="P41" s="184">
        <f>'Salt Disposal Cash Flow 2019'!C39</f>
        <v>0</v>
      </c>
      <c r="Q41" s="186">
        <f>'Salt Disposal Cash Flow 2019'!H39-'Salt Disposal Cash Flow 2019'!C39</f>
        <v>67177.538199998962</v>
      </c>
      <c r="R41" s="197"/>
      <c r="S41" s="199">
        <f t="shared" si="2"/>
        <v>0</v>
      </c>
      <c r="T41" s="200">
        <f t="shared" si="3"/>
        <v>0</v>
      </c>
      <c r="U41" s="191">
        <f t="shared" si="4"/>
        <v>1427575.9438663835</v>
      </c>
      <c r="V41" s="185">
        <f t="shared" si="8"/>
        <v>249825.7901766171</v>
      </c>
      <c r="W41" s="184">
        <f t="shared" si="5"/>
        <v>1589395.2656339158</v>
      </c>
      <c r="X41" s="194">
        <f t="shared" si="6"/>
        <v>278144.17148593522</v>
      </c>
      <c r="Y41" s="193">
        <f t="shared" si="7"/>
        <v>3544941.1711628521</v>
      </c>
    </row>
    <row r="42" spans="1:25" ht="13" x14ac:dyDescent="0.3">
      <c r="A42" s="182">
        <v>31</v>
      </c>
      <c r="B42" s="209">
        <f>'Short Term ETS Cash Flow 2019'!C41</f>
        <v>0</v>
      </c>
      <c r="C42" s="178">
        <f>'Short Term ETS Cash Flow 2019'!H41</f>
        <v>0</v>
      </c>
      <c r="D42" s="181">
        <f>SUM('Short Term ETS Cash Flow 2019'!D41:F41)</f>
        <v>0</v>
      </c>
      <c r="E42" s="180">
        <f>'Long Term ETS Cash Flow 2019'!C41</f>
        <v>0</v>
      </c>
      <c r="F42" s="178">
        <f>SUM('Long Term ETS Cash Flow 2019'!M41)</f>
        <v>63519.683706925483</v>
      </c>
      <c r="G42" s="181">
        <f>SUM('Long Term ETS Cash Flow 2019'!D41:J41)</f>
        <v>69794.771619511885</v>
      </c>
      <c r="H42" s="184">
        <f>'TTS Cash Flow'!B41</f>
        <v>0</v>
      </c>
      <c r="I42" s="114">
        <f>SUM('TTS Cash Flow'!F41:K41)</f>
        <v>1274892.8990684086</v>
      </c>
      <c r="J42" s="114">
        <f>SUM('TTS Cash Flow'!C41:E41)</f>
        <v>1309432.1175076379</v>
      </c>
      <c r="K42" s="184">
        <f>'Water Conveyance Cash Flow 2019'!C40</f>
        <v>0</v>
      </c>
      <c r="L42" s="114">
        <f>SUM('Water Conveyance Cash Flow 2019'!J40)</f>
        <v>80810.857873134126</v>
      </c>
      <c r="M42" s="185">
        <f>SUM('Water Conveyance Cash Flow 2019'!D40:H40)</f>
        <v>77136.074162334771</v>
      </c>
      <c r="N42" s="184">
        <f>'Sludge Disposal Cash Flow 2019'!C40</f>
        <v>0</v>
      </c>
      <c r="O42" s="185">
        <f>'Sludge Disposal Cash Flow 2019'!H40-'Sludge Disposal Cash Flow 2019'!C40</f>
        <v>65401.075174120459</v>
      </c>
      <c r="P42" s="184">
        <f>'Salt Disposal Cash Flow 2019'!C40</f>
        <v>0</v>
      </c>
      <c r="Q42" s="186">
        <f>'Salt Disposal Cash Flow 2019'!H40-'Salt Disposal Cash Flow 2019'!C40</f>
        <v>66413.449876225815</v>
      </c>
      <c r="R42" s="197"/>
      <c r="S42" s="199">
        <f t="shared" si="2"/>
        <v>0</v>
      </c>
      <c r="T42" s="200">
        <f t="shared" si="3"/>
        <v>0</v>
      </c>
      <c r="U42" s="191">
        <f t="shared" si="4"/>
        <v>1419223.4406484682</v>
      </c>
      <c r="V42" s="185">
        <f t="shared" si="8"/>
        <v>248364.10211348193</v>
      </c>
      <c r="W42" s="184">
        <f t="shared" si="5"/>
        <v>1588177.4883398307</v>
      </c>
      <c r="X42" s="194">
        <f t="shared" si="6"/>
        <v>277931.06045947032</v>
      </c>
      <c r="Y42" s="193">
        <f t="shared" si="7"/>
        <v>3533696.0915612513</v>
      </c>
    </row>
    <row r="43" spans="1:25" ht="13" x14ac:dyDescent="0.3">
      <c r="A43" s="182">
        <v>32</v>
      </c>
      <c r="B43" s="209">
        <f>'Short Term ETS Cash Flow 2019'!C42</f>
        <v>0</v>
      </c>
      <c r="C43" s="178">
        <f>'Short Term ETS Cash Flow 2019'!H42</f>
        <v>0</v>
      </c>
      <c r="D43" s="181">
        <f>SUM('Short Term ETS Cash Flow 2019'!D42:F42)</f>
        <v>0</v>
      </c>
      <c r="E43" s="180">
        <f>'Long Term ETS Cash Flow 2019'!C42</f>
        <v>0</v>
      </c>
      <c r="F43" s="178">
        <f>SUM('Long Term ETS Cash Flow 2019'!M42)</f>
        <v>62587.538137847165</v>
      </c>
      <c r="G43" s="181">
        <f>SUM('Long Term ETS Cash Flow 2019'!D42:J42)</f>
        <v>69794.771619511885</v>
      </c>
      <c r="H43" s="184">
        <f>'TTS Cash Flow'!B42</f>
        <v>0</v>
      </c>
      <c r="I43" s="114">
        <f>SUM('TTS Cash Flow'!F42:K42)</f>
        <v>1267209.9049567261</v>
      </c>
      <c r="J43" s="114">
        <f>SUM('TTS Cash Flow'!C42:E42)</f>
        <v>1309432.1175076379</v>
      </c>
      <c r="K43" s="184">
        <f>'Water Conveyance Cash Flow 2019'!C41</f>
        <v>0</v>
      </c>
      <c r="L43" s="114">
        <f>SUM('Water Conveyance Cash Flow 2019'!J41)</f>
        <v>80528.225466910124</v>
      </c>
      <c r="M43" s="185">
        <f>SUM('Water Conveyance Cash Flow 2019'!D41:H41)</f>
        <v>77136.074162334771</v>
      </c>
      <c r="N43" s="184">
        <f>'Sludge Disposal Cash Flow 2019'!C41</f>
        <v>0</v>
      </c>
      <c r="O43" s="185">
        <f>'Sludge Disposal Cash Flow 2019'!H41-'Sludge Disposal Cash Flow 2019'!C41</f>
        <v>64965.817121882268</v>
      </c>
      <c r="P43" s="184">
        <f>'Salt Disposal Cash Flow 2019'!C41</f>
        <v>0</v>
      </c>
      <c r="Q43" s="186">
        <f>'Salt Disposal Cash Flow 2019'!H41-'Salt Disposal Cash Flow 2019'!C41</f>
        <v>65656.679474103628</v>
      </c>
      <c r="R43" s="197"/>
      <c r="S43" s="199">
        <f t="shared" si="2"/>
        <v>0</v>
      </c>
      <c r="T43" s="200">
        <f t="shared" si="3"/>
        <v>0</v>
      </c>
      <c r="U43" s="191">
        <f t="shared" si="4"/>
        <v>1410325.6685614833</v>
      </c>
      <c r="V43" s="185">
        <f t="shared" si="8"/>
        <v>246806.99199825956</v>
      </c>
      <c r="W43" s="184">
        <f t="shared" si="5"/>
        <v>1586985.4598854703</v>
      </c>
      <c r="X43" s="194">
        <f t="shared" si="6"/>
        <v>277722.45547995728</v>
      </c>
      <c r="Y43" s="193">
        <f t="shared" si="7"/>
        <v>3521840.5759251704</v>
      </c>
    </row>
    <row r="44" spans="1:25" ht="13" x14ac:dyDescent="0.3">
      <c r="A44" s="182">
        <v>33</v>
      </c>
      <c r="B44" s="209">
        <f>'Short Term ETS Cash Flow 2019'!C43</f>
        <v>0</v>
      </c>
      <c r="C44" s="178">
        <f>'Short Term ETS Cash Flow 2019'!H43</f>
        <v>0</v>
      </c>
      <c r="D44" s="181">
        <f>SUM('Short Term ETS Cash Flow 2019'!D43:F43)</f>
        <v>0</v>
      </c>
      <c r="E44" s="180">
        <f>'Long Term ETS Cash Flow 2019'!C43</f>
        <v>0</v>
      </c>
      <c r="F44" s="178">
        <f>SUM('Long Term ETS Cash Flow 2019'!M43)</f>
        <v>62587.538137847165</v>
      </c>
      <c r="G44" s="181">
        <f>SUM('Long Term ETS Cash Flow 2019'!D43:J43)</f>
        <v>69794.771619511885</v>
      </c>
      <c r="H44" s="184">
        <f>'TTS Cash Flow'!B43</f>
        <v>0</v>
      </c>
      <c r="I44" s="114">
        <f>SUM('TTS Cash Flow'!F43:K43)</f>
        <v>1248148.881112901</v>
      </c>
      <c r="J44" s="114">
        <f>SUM('TTS Cash Flow'!C43:E43)</f>
        <v>1309432.1175076379</v>
      </c>
      <c r="K44" s="184">
        <f>'Water Conveyance Cash Flow 2019'!C42</f>
        <v>0</v>
      </c>
      <c r="L44" s="114">
        <f>SUM('Water Conveyance Cash Flow 2019'!J42)</f>
        <v>80257.52886195344</v>
      </c>
      <c r="M44" s="185">
        <f>SUM('Water Conveyance Cash Flow 2019'!D42:H42)</f>
        <v>77136.074162334771</v>
      </c>
      <c r="N44" s="184">
        <f>'Sludge Disposal Cash Flow 2019'!C42</f>
        <v>0</v>
      </c>
      <c r="O44" s="185">
        <f>'Sludge Disposal Cash Flow 2019'!H42-'Sludge Disposal Cash Flow 2019'!C42</f>
        <v>64547.806960213551</v>
      </c>
      <c r="P44" s="184">
        <f>'Salt Disposal Cash Flow 2019'!C42</f>
        <v>0</v>
      </c>
      <c r="Q44" s="186">
        <f>'Salt Disposal Cash Flow 2019'!H42-'Salt Disposal Cash Flow 2019'!C42</f>
        <v>65503.451802005926</v>
      </c>
      <c r="R44" s="197"/>
      <c r="S44" s="199">
        <f t="shared" si="2"/>
        <v>0</v>
      </c>
      <c r="T44" s="200">
        <f t="shared" si="3"/>
        <v>0</v>
      </c>
      <c r="U44" s="191">
        <f t="shared" si="4"/>
        <v>1390993.9481127015</v>
      </c>
      <c r="V44" s="185">
        <f t="shared" si="8"/>
        <v>243423.94091972275</v>
      </c>
      <c r="W44" s="184">
        <f t="shared" si="5"/>
        <v>1586414.2220517038</v>
      </c>
      <c r="X44" s="194">
        <f t="shared" si="6"/>
        <v>277622.48885904817</v>
      </c>
      <c r="Y44" s="193">
        <f t="shared" si="7"/>
        <v>3498454.5999431759</v>
      </c>
    </row>
    <row r="45" spans="1:25" ht="13" x14ac:dyDescent="0.3">
      <c r="A45" s="182">
        <v>34</v>
      </c>
      <c r="B45" s="209">
        <f>'Short Term ETS Cash Flow 2019'!C44</f>
        <v>0</v>
      </c>
      <c r="C45" s="178">
        <f>'Short Term ETS Cash Flow 2019'!H44</f>
        <v>0</v>
      </c>
      <c r="D45" s="181">
        <f>SUM('Short Term ETS Cash Flow 2019'!D44:F44)</f>
        <v>0</v>
      </c>
      <c r="E45" s="180">
        <f>'Long Term ETS Cash Flow 2019'!C44</f>
        <v>0</v>
      </c>
      <c r="F45" s="178">
        <f>SUM('Long Term ETS Cash Flow 2019'!M44)</f>
        <v>62587.538137847165</v>
      </c>
      <c r="G45" s="181">
        <f>SUM('Long Term ETS Cash Flow 2019'!D44:J44)</f>
        <v>69794.771619511885</v>
      </c>
      <c r="H45" s="184">
        <f>'TTS Cash Flow'!B44</f>
        <v>0</v>
      </c>
      <c r="I45" s="114">
        <f>SUM('TTS Cash Flow'!F44:K44)</f>
        <v>1241052.3606743186</v>
      </c>
      <c r="J45" s="114">
        <f>SUM('TTS Cash Flow'!C44:E44)</f>
        <v>1309432.1175076379</v>
      </c>
      <c r="K45" s="184">
        <f>'Water Conveyance Cash Flow 2019'!C43</f>
        <v>0</v>
      </c>
      <c r="L45" s="114">
        <f>SUM('Water Conveyance Cash Flow 2019'!J43)</f>
        <v>79997.458351258552</v>
      </c>
      <c r="M45" s="185">
        <f>SUM('Water Conveyance Cash Flow 2019'!D43:H43)</f>
        <v>77136.074162334771</v>
      </c>
      <c r="N45" s="184">
        <f>'Sludge Disposal Cash Flow 2019'!C43</f>
        <v>0</v>
      </c>
      <c r="O45" s="185">
        <f>'Sludge Disposal Cash Flow 2019'!H43-'Sludge Disposal Cash Flow 2019'!C43</f>
        <v>64145.291559374236</v>
      </c>
      <c r="P45" s="184">
        <f>'Salt Disposal Cash Flow 2019'!C43</f>
        <v>0</v>
      </c>
      <c r="Q45" s="186">
        <f>'Salt Disposal Cash Flow 2019'!H43-'Salt Disposal Cash Flow 2019'!C43</f>
        <v>65356.392368137364</v>
      </c>
      <c r="R45" s="197"/>
      <c r="S45" s="199">
        <f t="shared" si="2"/>
        <v>0</v>
      </c>
      <c r="T45" s="200">
        <f t="shared" si="3"/>
        <v>0</v>
      </c>
      <c r="U45" s="191">
        <f t="shared" si="4"/>
        <v>1383637.3571634244</v>
      </c>
      <c r="V45" s="185">
        <f t="shared" si="8"/>
        <v>242136.53750359925</v>
      </c>
      <c r="W45" s="184">
        <f t="shared" si="5"/>
        <v>1585864.6472169959</v>
      </c>
      <c r="X45" s="194">
        <f t="shared" si="6"/>
        <v>277526.31326297426</v>
      </c>
      <c r="Y45" s="193">
        <f t="shared" si="7"/>
        <v>3489164.8551469939</v>
      </c>
    </row>
    <row r="46" spans="1:25" ht="13" x14ac:dyDescent="0.3">
      <c r="A46" s="182">
        <v>35</v>
      </c>
      <c r="B46" s="209">
        <f>'Short Term ETS Cash Flow 2019'!C45</f>
        <v>0</v>
      </c>
      <c r="C46" s="178">
        <f>'Short Term ETS Cash Flow 2019'!H45</f>
        <v>0</v>
      </c>
      <c r="D46" s="181">
        <f>SUM('Short Term ETS Cash Flow 2019'!D45:F45)</f>
        <v>0</v>
      </c>
      <c r="E46" s="180">
        <f>'Long Term ETS Cash Flow 2019'!C45</f>
        <v>0</v>
      </c>
      <c r="F46" s="178">
        <f>SUM('Long Term ETS Cash Flow 2019'!M45)</f>
        <v>62587.538137847165</v>
      </c>
      <c r="G46" s="181">
        <f>SUM('Long Term ETS Cash Flow 2019'!D45:J45)</f>
        <v>69794.771619511885</v>
      </c>
      <c r="H46" s="184">
        <f>'TTS Cash Flow'!B45</f>
        <v>0</v>
      </c>
      <c r="I46" s="114">
        <f>SUM('TTS Cash Flow'!F45:K45)</f>
        <v>1234222.2374117202</v>
      </c>
      <c r="J46" s="114">
        <f>SUM('TTS Cash Flow'!C45:E45)</f>
        <v>1309432.1175076379</v>
      </c>
      <c r="K46" s="184">
        <f>'Water Conveyance Cash Flow 2019'!C44</f>
        <v>0</v>
      </c>
      <c r="L46" s="114">
        <f>SUM('Water Conveyance Cash Flow 2019'!J44)</f>
        <v>79747.699871455712</v>
      </c>
      <c r="M46" s="185">
        <f>SUM('Water Conveyance Cash Flow 2019'!D44:H44)</f>
        <v>77136.074162334771</v>
      </c>
      <c r="N46" s="184">
        <f>'Sludge Disposal Cash Flow 2019'!C44</f>
        <v>0</v>
      </c>
      <c r="O46" s="185">
        <f>'Sludge Disposal Cash Flow 2019'!H44-'Sludge Disposal Cash Flow 2019'!C44</f>
        <v>63757.65398267725</v>
      </c>
      <c r="P46" s="184">
        <f>'Salt Disposal Cash Flow 2019'!C44</f>
        <v>0</v>
      </c>
      <c r="Q46" s="186">
        <f>'Salt Disposal Cash Flow 2019'!H44-'Salt Disposal Cash Flow 2019'!C44</f>
        <v>65215.19077776654</v>
      </c>
      <c r="R46" s="197"/>
      <c r="S46" s="199">
        <f t="shared" si="2"/>
        <v>0</v>
      </c>
      <c r="T46" s="200">
        <f t="shared" si="3"/>
        <v>0</v>
      </c>
      <c r="U46" s="191">
        <f t="shared" si="4"/>
        <v>1376557.4754210231</v>
      </c>
      <c r="V46" s="185">
        <f t="shared" si="8"/>
        <v>240897.55819867903</v>
      </c>
      <c r="W46" s="184">
        <f t="shared" si="5"/>
        <v>1585335.8080499282</v>
      </c>
      <c r="X46" s="194">
        <f t="shared" si="6"/>
        <v>277433.7664087374</v>
      </c>
      <c r="Y46" s="193">
        <f t="shared" si="7"/>
        <v>3480224.6080783675</v>
      </c>
    </row>
    <row r="47" spans="1:25" ht="13" x14ac:dyDescent="0.3">
      <c r="A47" s="182">
        <v>36</v>
      </c>
      <c r="B47" s="209">
        <f>'Short Term ETS Cash Flow 2019'!C46</f>
        <v>0</v>
      </c>
      <c r="C47" s="178">
        <f>'Short Term ETS Cash Flow 2019'!H46</f>
        <v>0</v>
      </c>
      <c r="D47" s="181">
        <f>SUM('Short Term ETS Cash Flow 2019'!D46:F46)</f>
        <v>0</v>
      </c>
      <c r="E47" s="180">
        <f>'Long Term ETS Cash Flow 2019'!C46</f>
        <v>0</v>
      </c>
      <c r="F47" s="178">
        <f>SUM('Long Term ETS Cash Flow 2019'!M46)</f>
        <v>61699.130011346628</v>
      </c>
      <c r="G47" s="181">
        <f>SUM('Long Term ETS Cash Flow 2019'!D46:J46)</f>
        <v>69794.771619511885</v>
      </c>
      <c r="H47" s="184">
        <f>'TTS Cash Flow'!B46</f>
        <v>0</v>
      </c>
      <c r="I47" s="114">
        <f>SUM('TTS Cash Flow'!F46:K46)</f>
        <v>1227631.8049485851</v>
      </c>
      <c r="J47" s="114">
        <f>SUM('TTS Cash Flow'!C46:E46)</f>
        <v>1309432.1175076379</v>
      </c>
      <c r="K47" s="184">
        <f>'Water Conveyance Cash Flow 2019'!C45</f>
        <v>0</v>
      </c>
      <c r="L47" s="114">
        <f>SUM('Water Conveyance Cash Flow 2019'!J45)</f>
        <v>79507.356768979123</v>
      </c>
      <c r="M47" s="185">
        <f>SUM('Water Conveyance Cash Flow 2019'!D45:H45)</f>
        <v>77136.074162334771</v>
      </c>
      <c r="N47" s="184">
        <f>'Sludge Disposal Cash Flow 2019'!C45</f>
        <v>0</v>
      </c>
      <c r="O47" s="185">
        <f>'Sludge Disposal Cash Flow 2019'!H45-'Sludge Disposal Cash Flow 2019'!C45</f>
        <v>63383.431338690702</v>
      </c>
      <c r="P47" s="184">
        <f>'Salt Disposal Cash Flow 2019'!C45</f>
        <v>0</v>
      </c>
      <c r="Q47" s="186">
        <f>'Salt Disposal Cash Flow 2019'!H45-'Salt Disposal Cash Flow 2019'!C45</f>
        <v>65079.223115322777</v>
      </c>
      <c r="R47" s="197"/>
      <c r="S47" s="199">
        <f t="shared" si="2"/>
        <v>0</v>
      </c>
      <c r="T47" s="200">
        <f t="shared" si="3"/>
        <v>0</v>
      </c>
      <c r="U47" s="191">
        <f t="shared" si="4"/>
        <v>1368838.291728911</v>
      </c>
      <c r="V47" s="185">
        <f t="shared" si="8"/>
        <v>239546.70105255939</v>
      </c>
      <c r="W47" s="184">
        <f t="shared" si="5"/>
        <v>1584825.6177434979</v>
      </c>
      <c r="X47" s="194">
        <f t="shared" si="6"/>
        <v>277344.4831051121</v>
      </c>
      <c r="Y47" s="193">
        <f t="shared" si="7"/>
        <v>3470555.0936300801</v>
      </c>
    </row>
    <row r="48" spans="1:25" ht="13" x14ac:dyDescent="0.3">
      <c r="A48" s="182">
        <v>37</v>
      </c>
      <c r="B48" s="209">
        <f>'Short Term ETS Cash Flow 2019'!C47</f>
        <v>0</v>
      </c>
      <c r="C48" s="178">
        <f>'Short Term ETS Cash Flow 2019'!H47</f>
        <v>0</v>
      </c>
      <c r="D48" s="181">
        <f>SUM('Short Term ETS Cash Flow 2019'!D47:F47)</f>
        <v>0</v>
      </c>
      <c r="E48" s="180">
        <f>'Long Term ETS Cash Flow 2019'!C47</f>
        <v>0</v>
      </c>
      <c r="F48" s="178">
        <f>SUM('Long Term ETS Cash Flow 2019'!M47)</f>
        <v>61699.130011346628</v>
      </c>
      <c r="G48" s="181">
        <f>SUM('Long Term ETS Cash Flow 2019'!D47:J47)</f>
        <v>69794.771619511885</v>
      </c>
      <c r="H48" s="184">
        <f>'TTS Cash Flow'!B47</f>
        <v>0</v>
      </c>
      <c r="I48" s="114">
        <f>SUM('TTS Cash Flow'!F47:K47)</f>
        <v>1221262.9343477204</v>
      </c>
      <c r="J48" s="114">
        <f>SUM('TTS Cash Flow'!C47:E47)</f>
        <v>1309432.1175076379</v>
      </c>
      <c r="K48" s="184">
        <f>'Water Conveyance Cash Flow 2019'!C46</f>
        <v>0</v>
      </c>
      <c r="L48" s="114">
        <f>SUM('Water Conveyance Cash Flow 2019'!J46)</f>
        <v>79275.477830314048</v>
      </c>
      <c r="M48" s="185">
        <f>SUM('Water Conveyance Cash Flow 2019'!D46:H46)</f>
        <v>77136.074162334771</v>
      </c>
      <c r="N48" s="184">
        <f>'Sludge Disposal Cash Flow 2019'!C46</f>
        <v>0</v>
      </c>
      <c r="O48" s="185">
        <f>'Sludge Disposal Cash Flow 2019'!H46-'Sludge Disposal Cash Flow 2019'!C46</f>
        <v>63021.593705842315</v>
      </c>
      <c r="P48" s="184">
        <f>'Salt Disposal Cash Flow 2019'!C46</f>
        <v>0</v>
      </c>
      <c r="Q48" s="186">
        <f>'Salt Disposal Cash Flow 2019'!H46-'Salt Disposal Cash Flow 2019'!C46</f>
        <v>64948.152792385015</v>
      </c>
      <c r="R48" s="197"/>
      <c r="S48" s="199">
        <f t="shared" si="2"/>
        <v>0</v>
      </c>
      <c r="T48" s="200">
        <f t="shared" si="3"/>
        <v>0</v>
      </c>
      <c r="U48" s="191">
        <f t="shared" si="4"/>
        <v>1362237.5421893811</v>
      </c>
      <c r="V48" s="185">
        <f t="shared" si="8"/>
        <v>238391.56988314167</v>
      </c>
      <c r="W48" s="184">
        <f t="shared" si="5"/>
        <v>1584332.7097877117</v>
      </c>
      <c r="X48" s="194">
        <f t="shared" si="6"/>
        <v>277258.22421284951</v>
      </c>
      <c r="Y48" s="193">
        <f t="shared" si="7"/>
        <v>3462220.0460730838</v>
      </c>
    </row>
    <row r="49" spans="1:25" ht="13" x14ac:dyDescent="0.3">
      <c r="A49" s="182">
        <v>38</v>
      </c>
      <c r="B49" s="209">
        <f>'Short Term ETS Cash Flow 2019'!C48</f>
        <v>0</v>
      </c>
      <c r="C49" s="178">
        <f>'Short Term ETS Cash Flow 2019'!H48</f>
        <v>0</v>
      </c>
      <c r="D49" s="181">
        <f>SUM('Short Term ETS Cash Flow 2019'!D48:F48)</f>
        <v>0</v>
      </c>
      <c r="E49" s="180">
        <f>'Long Term ETS Cash Flow 2019'!C48</f>
        <v>0</v>
      </c>
      <c r="F49" s="178">
        <f>SUM('Long Term ETS Cash Flow 2019'!M48)</f>
        <v>61699.130011346628</v>
      </c>
      <c r="G49" s="181">
        <f>SUM('Long Term ETS Cash Flow 2019'!D48:J48)</f>
        <v>69794.771619511885</v>
      </c>
      <c r="H49" s="184">
        <f>'TTS Cash Flow'!B48</f>
        <v>0</v>
      </c>
      <c r="I49" s="114">
        <f>SUM('TTS Cash Flow'!F48:K48)</f>
        <v>1215105.5629657984</v>
      </c>
      <c r="J49" s="114">
        <f>SUM('TTS Cash Flow'!C48:E48)</f>
        <v>1309432.1175076379</v>
      </c>
      <c r="K49" s="184">
        <f>'Water Conveyance Cash Flow 2019'!C47</f>
        <v>0</v>
      </c>
      <c r="L49" s="114">
        <f>SUM('Water Conveyance Cash Flow 2019'!J47)</f>
        <v>79051.832056455387</v>
      </c>
      <c r="M49" s="185">
        <f>SUM('Water Conveyance Cash Flow 2019'!D47:H47)</f>
        <v>77136.074162334771</v>
      </c>
      <c r="N49" s="184">
        <f>'Sludge Disposal Cash Flow 2019'!C47</f>
        <v>0</v>
      </c>
      <c r="O49" s="185">
        <f>'Sludge Disposal Cash Flow 2019'!H47-'Sludge Disposal Cash Flow 2019'!C47</f>
        <v>62671.593261914866</v>
      </c>
      <c r="P49" s="184">
        <f>'Salt Disposal Cash Flow 2019'!C47</f>
        <v>0</v>
      </c>
      <c r="Q49" s="186">
        <f>'Salt Disposal Cash Flow 2019'!H47-'Salt Disposal Cash Flow 2019'!C47</f>
        <v>64821.716765183126</v>
      </c>
      <c r="R49" s="197"/>
      <c r="S49" s="199">
        <f t="shared" si="2"/>
        <v>0</v>
      </c>
      <c r="T49" s="200">
        <f t="shared" si="3"/>
        <v>0</v>
      </c>
      <c r="U49" s="191">
        <f t="shared" si="4"/>
        <v>1355856.5250336004</v>
      </c>
      <c r="V49" s="185">
        <f t="shared" si="8"/>
        <v>237274.89188088005</v>
      </c>
      <c r="W49" s="184">
        <f t="shared" si="5"/>
        <v>1583856.2733165822</v>
      </c>
      <c r="X49" s="194">
        <f t="shared" si="6"/>
        <v>277174.84783040185</v>
      </c>
      <c r="Y49" s="193">
        <f t="shared" si="7"/>
        <v>3454162.5380614642</v>
      </c>
    </row>
    <row r="50" spans="1:25" ht="13" x14ac:dyDescent="0.3">
      <c r="A50" s="182">
        <v>39</v>
      </c>
      <c r="B50" s="209">
        <f>'Short Term ETS Cash Flow 2019'!C49</f>
        <v>0</v>
      </c>
      <c r="C50" s="178">
        <f>'Short Term ETS Cash Flow 2019'!H49</f>
        <v>0</v>
      </c>
      <c r="D50" s="181">
        <f>SUM('Short Term ETS Cash Flow 2019'!D49:F49)</f>
        <v>0</v>
      </c>
      <c r="E50" s="180">
        <f>'Long Term ETS Cash Flow 2019'!C49</f>
        <v>0</v>
      </c>
      <c r="F50" s="178">
        <f>SUM('Long Term ETS Cash Flow 2019'!M49)</f>
        <v>61699.130011346628</v>
      </c>
      <c r="G50" s="181">
        <f>SUM('Long Term ETS Cash Flow 2019'!D49:J49)</f>
        <v>69794.771619511885</v>
      </c>
      <c r="H50" s="184">
        <f>'TTS Cash Flow'!B49</f>
        <v>0</v>
      </c>
      <c r="I50" s="114">
        <f>SUM('TTS Cash Flow'!F49:K49)</f>
        <v>1209143.8233154465</v>
      </c>
      <c r="J50" s="114">
        <f>SUM('TTS Cash Flow'!C49:E49)</f>
        <v>1309432.1175076379</v>
      </c>
      <c r="K50" s="184">
        <f>'Water Conveyance Cash Flow 2019'!C48</f>
        <v>0</v>
      </c>
      <c r="L50" s="114">
        <f>SUM('Water Conveyance Cash Flow 2019'!J48)</f>
        <v>78835.739952222939</v>
      </c>
      <c r="M50" s="185">
        <f>SUM('Water Conveyance Cash Flow 2019'!D48:H48)</f>
        <v>77136.074162334771</v>
      </c>
      <c r="N50" s="184">
        <f>'Sludge Disposal Cash Flow 2019'!C48</f>
        <v>0</v>
      </c>
      <c r="O50" s="185">
        <f>'Sludge Disposal Cash Flow 2019'!H48-'Sludge Disposal Cash Flow 2019'!C48</f>
        <v>62332.543245406734</v>
      </c>
      <c r="P50" s="184">
        <f>'Salt Disposal Cash Flow 2019'!C48</f>
        <v>0</v>
      </c>
      <c r="Q50" s="186">
        <f>'Salt Disposal Cash Flow 2019'!H48-'Salt Disposal Cash Flow 2019'!C48</f>
        <v>64699.577376272064</v>
      </c>
      <c r="R50" s="197"/>
      <c r="S50" s="199">
        <f t="shared" si="2"/>
        <v>0</v>
      </c>
      <c r="T50" s="200">
        <f t="shared" si="3"/>
        <v>0</v>
      </c>
      <c r="U50" s="191">
        <f t="shared" si="4"/>
        <v>1349678.6932790161</v>
      </c>
      <c r="V50" s="185">
        <f t="shared" si="8"/>
        <v>236193.77132382779</v>
      </c>
      <c r="W50" s="184">
        <f t="shared" si="5"/>
        <v>1583395.0839111633</v>
      </c>
      <c r="X50" s="194">
        <f t="shared" si="6"/>
        <v>277094.13968445355</v>
      </c>
      <c r="Y50" s="193">
        <f t="shared" si="7"/>
        <v>3446361.6881984607</v>
      </c>
    </row>
    <row r="51" spans="1:25" ht="13" x14ac:dyDescent="0.3">
      <c r="A51" s="182">
        <v>40</v>
      </c>
      <c r="B51" s="209">
        <f>'Short Term ETS Cash Flow 2019'!C50</f>
        <v>0</v>
      </c>
      <c r="C51" s="178">
        <f>'Short Term ETS Cash Flow 2019'!H50</f>
        <v>0</v>
      </c>
      <c r="D51" s="181">
        <f>SUM('Short Term ETS Cash Flow 2019'!D50:F50)</f>
        <v>0</v>
      </c>
      <c r="E51" s="180">
        <f>'Long Term ETS Cash Flow 2019'!C50</f>
        <v>0</v>
      </c>
      <c r="F51" s="178">
        <f>SUM('Long Term ETS Cash Flow 2019'!M50)</f>
        <v>60810.721884846076</v>
      </c>
      <c r="G51" s="181">
        <f>SUM('Long Term ETS Cash Flow 2019'!D50:J50)</f>
        <v>69794.771619511885</v>
      </c>
      <c r="H51" s="184">
        <f>'TTS Cash Flow'!B50</f>
        <v>0</v>
      </c>
      <c r="I51" s="114">
        <f>SUM('TTS Cash Flow'!F50:K50)</f>
        <v>1203368.6614031054</v>
      </c>
      <c r="J51" s="114">
        <f>SUM('TTS Cash Flow'!C50:E50)</f>
        <v>1309432.1175076379</v>
      </c>
      <c r="K51" s="184">
        <f>'Water Conveyance Cash Flow 2019'!C49</f>
        <v>0</v>
      </c>
      <c r="L51" s="114">
        <f>SUM('Water Conveyance Cash Flow 2019'!J49)</f>
        <v>78626.845535145199</v>
      </c>
      <c r="M51" s="185">
        <f>SUM('Water Conveyance Cash Flow 2019'!D49:H49)</f>
        <v>77136.074162334771</v>
      </c>
      <c r="N51" s="184">
        <f>'Sludge Disposal Cash Flow 2019'!C49</f>
        <v>0</v>
      </c>
      <c r="O51" s="185">
        <f>'Sludge Disposal Cash Flow 2019'!H49-'Sludge Disposal Cash Flow 2019'!C49</f>
        <v>62003.937138631896</v>
      </c>
      <c r="P51" s="184">
        <f>'Salt Disposal Cash Flow 2019'!C49</f>
        <v>0</v>
      </c>
      <c r="Q51" s="186">
        <f>'Salt Disposal Cash Flow 2019'!H49-'Salt Disposal Cash Flow 2019'!C49</f>
        <v>64581.504370043687</v>
      </c>
      <c r="R51" s="197"/>
      <c r="S51" s="199">
        <f t="shared" si="2"/>
        <v>0</v>
      </c>
      <c r="T51" s="200">
        <f t="shared" si="3"/>
        <v>0</v>
      </c>
      <c r="U51" s="191">
        <f t="shared" si="4"/>
        <v>1342806.2288230965</v>
      </c>
      <c r="V51" s="185">
        <f t="shared" si="8"/>
        <v>234991.09004404186</v>
      </c>
      <c r="W51" s="184">
        <f t="shared" si="5"/>
        <v>1582948.4047981601</v>
      </c>
      <c r="X51" s="194">
        <f t="shared" si="6"/>
        <v>277015.97083967802</v>
      </c>
      <c r="Y51" s="193">
        <f t="shared" si="7"/>
        <v>3437761.6945049763</v>
      </c>
    </row>
    <row r="52" spans="1:25" ht="13" x14ac:dyDescent="0.3">
      <c r="A52" s="182">
        <v>41</v>
      </c>
      <c r="B52" s="209">
        <f>'Short Term ETS Cash Flow 2019'!C51</f>
        <v>0</v>
      </c>
      <c r="C52" s="178">
        <f>'Short Term ETS Cash Flow 2019'!H51</f>
        <v>0</v>
      </c>
      <c r="D52" s="181">
        <f>SUM('Short Term ETS Cash Flow 2019'!D51:F51)</f>
        <v>0</v>
      </c>
      <c r="E52" s="180">
        <f>'Long Term ETS Cash Flow 2019'!C51</f>
        <v>0</v>
      </c>
      <c r="F52" s="178">
        <f>SUM('Long Term ETS Cash Flow 2019'!M51)</f>
        <v>60810.721884846076</v>
      </c>
      <c r="G52" s="181">
        <f>SUM('Long Term ETS Cash Flow 2019'!D51:J51)</f>
        <v>69794.771619511885</v>
      </c>
      <c r="H52" s="184">
        <f>'TTS Cash Flow'!B51</f>
        <v>0</v>
      </c>
      <c r="I52" s="114">
        <f>SUM('TTS Cash Flow'!F51:K51)</f>
        <v>1197769.5000865711</v>
      </c>
      <c r="J52" s="114">
        <f>SUM('TTS Cash Flow'!C51:E51)</f>
        <v>1309432.1175076379</v>
      </c>
      <c r="K52" s="184">
        <f>'Water Conveyance Cash Flow 2019'!C50</f>
        <v>0</v>
      </c>
      <c r="L52" s="114">
        <f>SUM('Water Conveyance Cash Flow 2019'!J50)</f>
        <v>78424.804174659483</v>
      </c>
      <c r="M52" s="185">
        <f>SUM('Water Conveyance Cash Flow 2019'!D50:H50)</f>
        <v>77136.074162334771</v>
      </c>
      <c r="N52" s="184">
        <f>'Sludge Disposal Cash Flow 2019'!C50</f>
        <v>0</v>
      </c>
      <c r="O52" s="185">
        <f>'Sludge Disposal Cash Flow 2019'!H50-'Sludge Disposal Cash Flow 2019'!C50</f>
        <v>61685.19052503616</v>
      </c>
      <c r="P52" s="184">
        <f>'Salt Disposal Cash Flow 2019'!C50</f>
        <v>0</v>
      </c>
      <c r="Q52" s="186">
        <f>'Salt Disposal Cash Flow 2019'!H50-'Salt Disposal Cash Flow 2019'!C50</f>
        <v>64467.27953241059</v>
      </c>
      <c r="R52" s="197"/>
      <c r="S52" s="199">
        <f t="shared" si="2"/>
        <v>0</v>
      </c>
      <c r="T52" s="200">
        <f t="shared" si="3"/>
        <v>0</v>
      </c>
      <c r="U52" s="191">
        <f t="shared" si="4"/>
        <v>1337005.0261460766</v>
      </c>
      <c r="V52" s="185">
        <f t="shared" si="8"/>
        <v>233975.87957556339</v>
      </c>
      <c r="W52" s="184">
        <f t="shared" si="5"/>
        <v>1582515.4333469311</v>
      </c>
      <c r="X52" s="194">
        <f t="shared" si="6"/>
        <v>276940.20083571295</v>
      </c>
      <c r="Y52" s="193">
        <f t="shared" si="7"/>
        <v>3430436.5399042843</v>
      </c>
    </row>
    <row r="53" spans="1:25" ht="13" x14ac:dyDescent="0.3">
      <c r="A53" s="182">
        <v>42</v>
      </c>
      <c r="B53" s="209">
        <f>'Short Term ETS Cash Flow 2019'!C52</f>
        <v>0</v>
      </c>
      <c r="C53" s="178">
        <f>'Short Term ETS Cash Flow 2019'!H52</f>
        <v>0</v>
      </c>
      <c r="D53" s="181">
        <f>SUM('Short Term ETS Cash Flow 2019'!D52:F52)</f>
        <v>0</v>
      </c>
      <c r="E53" s="180">
        <f>'Long Term ETS Cash Flow 2019'!C52</f>
        <v>0</v>
      </c>
      <c r="F53" s="178">
        <f>SUM('Long Term ETS Cash Flow 2019'!M52)</f>
        <v>60810.721884846076</v>
      </c>
      <c r="G53" s="181">
        <f>SUM('Long Term ETS Cash Flow 2019'!D52:J52)</f>
        <v>69794.771619511885</v>
      </c>
      <c r="H53" s="184">
        <f>'TTS Cash Flow'!B52</f>
        <v>0</v>
      </c>
      <c r="I53" s="114">
        <f>SUM('TTS Cash Flow'!F52:K52)</f>
        <v>1192339.5928666468</v>
      </c>
      <c r="J53" s="114">
        <f>SUM('TTS Cash Flow'!C52:E52)</f>
        <v>1188047.8100076378</v>
      </c>
      <c r="K53" s="184">
        <f>'Water Conveyance Cash Flow 2019'!C51</f>
        <v>0</v>
      </c>
      <c r="L53" s="114">
        <f>SUM('Water Conveyance Cash Flow 2019'!J51)</f>
        <v>78229.438187318054</v>
      </c>
      <c r="M53" s="185">
        <f>SUM('Water Conveyance Cash Flow 2019'!D51:H51)</f>
        <v>77136.074162334771</v>
      </c>
      <c r="N53" s="184">
        <f>'Sludge Disposal Cash Flow 2019'!C51</f>
        <v>0</v>
      </c>
      <c r="O53" s="185">
        <f>'Sludge Disposal Cash Flow 2019'!H51-'Sludge Disposal Cash Flow 2019'!C51</f>
        <v>61375.925859178664</v>
      </c>
      <c r="P53" s="184">
        <f>'Salt Disposal Cash Flow 2019'!C51</f>
        <v>0</v>
      </c>
      <c r="Q53" s="186">
        <f>'Salt Disposal Cash Flow 2019'!H51-'Salt Disposal Cash Flow 2019'!C51</f>
        <v>64356.740793497498</v>
      </c>
      <c r="R53" s="197"/>
      <c r="S53" s="199">
        <f t="shared" si="2"/>
        <v>0</v>
      </c>
      <c r="T53" s="200">
        <f t="shared" si="3"/>
        <v>0</v>
      </c>
      <c r="U53" s="191">
        <f t="shared" si="4"/>
        <v>1331379.752938811</v>
      </c>
      <c r="V53" s="185">
        <f t="shared" si="8"/>
        <v>232991.45676429191</v>
      </c>
      <c r="W53" s="184">
        <f t="shared" si="5"/>
        <v>1460711.3224421605</v>
      </c>
      <c r="X53" s="194">
        <f t="shared" si="6"/>
        <v>255624.48142737805</v>
      </c>
      <c r="Y53" s="193">
        <f t="shared" si="7"/>
        <v>3280707.0135726416</v>
      </c>
    </row>
    <row r="54" spans="1:25" ht="13" x14ac:dyDescent="0.3">
      <c r="A54" s="182">
        <v>43</v>
      </c>
      <c r="B54" s="209">
        <f>'Short Term ETS Cash Flow 2019'!C53</f>
        <v>0</v>
      </c>
      <c r="C54" s="178">
        <f>'Short Term ETS Cash Flow 2019'!H53</f>
        <v>0</v>
      </c>
      <c r="D54" s="181">
        <f>SUM('Short Term ETS Cash Flow 2019'!D53:F53)</f>
        <v>0</v>
      </c>
      <c r="E54" s="180">
        <f>'Long Term ETS Cash Flow 2019'!C53</f>
        <v>0</v>
      </c>
      <c r="F54" s="178">
        <f>SUM('Long Term ETS Cash Flow 2019'!M53)</f>
        <v>60810.721884846076</v>
      </c>
      <c r="G54" s="181">
        <f>SUM('Long Term ETS Cash Flow 2019'!D53:J53)</f>
        <v>69794.771619511885</v>
      </c>
      <c r="H54" s="184">
        <f>'TTS Cash Flow'!B53</f>
        <v>0</v>
      </c>
      <c r="I54" s="114">
        <f>SUM('TTS Cash Flow'!F53:K53)</f>
        <v>1187070.2471604114</v>
      </c>
      <c r="J54" s="114">
        <f>SUM('TTS Cash Flow'!C53:E53)</f>
        <v>1188047.8100076378</v>
      </c>
      <c r="K54" s="184">
        <f>'Water Conveyance Cash Flow 2019'!C52</f>
        <v>0</v>
      </c>
      <c r="L54" s="114">
        <f>SUM('Water Conveyance Cash Flow 2019'!J52)</f>
        <v>78040.152488332227</v>
      </c>
      <c r="M54" s="185">
        <f>SUM('Water Conveyance Cash Flow 2019'!D52:H52)</f>
        <v>77136.074162334771</v>
      </c>
      <c r="N54" s="184">
        <f>'Sludge Disposal Cash Flow 2019'!C52</f>
        <v>0</v>
      </c>
      <c r="O54" s="185">
        <f>'Sludge Disposal Cash Flow 2019'!H52-'Sludge Disposal Cash Flow 2019'!C52</f>
        <v>61075.647691276477</v>
      </c>
      <c r="P54" s="184">
        <f>'Salt Disposal Cash Flow 2019'!C52</f>
        <v>0</v>
      </c>
      <c r="Q54" s="186">
        <f>'Salt Disposal Cash Flow 2019'!H52-'Salt Disposal Cash Flow 2019'!C52</f>
        <v>64249.709465862397</v>
      </c>
      <c r="R54" s="197"/>
      <c r="S54" s="199">
        <f t="shared" si="2"/>
        <v>0</v>
      </c>
      <c r="T54" s="200">
        <f t="shared" si="3"/>
        <v>0</v>
      </c>
      <c r="U54" s="191">
        <f t="shared" si="4"/>
        <v>1325921.1215335897</v>
      </c>
      <c r="V54" s="185">
        <f t="shared" si="8"/>
        <v>232036.19626837817</v>
      </c>
      <c r="W54" s="184">
        <f t="shared" si="5"/>
        <v>1460304.0129466231</v>
      </c>
      <c r="X54" s="194">
        <f t="shared" si="6"/>
        <v>255553.20226565903</v>
      </c>
      <c r="Y54" s="193">
        <f t="shared" si="7"/>
        <v>3273814.5330142495</v>
      </c>
    </row>
    <row r="55" spans="1:25" ht="13" x14ac:dyDescent="0.3">
      <c r="A55" s="182">
        <v>44</v>
      </c>
      <c r="B55" s="209">
        <f>'Short Term ETS Cash Flow 2019'!C54</f>
        <v>0</v>
      </c>
      <c r="C55" s="178">
        <f>'Short Term ETS Cash Flow 2019'!H54</f>
        <v>0</v>
      </c>
      <c r="D55" s="181">
        <f>SUM('Short Term ETS Cash Flow 2019'!D54:F54)</f>
        <v>0</v>
      </c>
      <c r="E55" s="180">
        <f>'Long Term ETS Cash Flow 2019'!C54</f>
        <v>0</v>
      </c>
      <c r="F55" s="178">
        <f>SUM('Long Term ETS Cash Flow 2019'!M54)</f>
        <v>60810.721884846076</v>
      </c>
      <c r="G55" s="181">
        <f>SUM('Long Term ETS Cash Flow 2019'!D54:J54)</f>
        <v>69794.771619511885</v>
      </c>
      <c r="H55" s="184">
        <f>'TTS Cash Flow'!B54</f>
        <v>0</v>
      </c>
      <c r="I55" s="114">
        <f>SUM('TTS Cash Flow'!F54:K54)</f>
        <v>1181955.0555012876</v>
      </c>
      <c r="J55" s="114">
        <f>SUM('TTS Cash Flow'!C54:E54)</f>
        <v>1188047.8100076378</v>
      </c>
      <c r="K55" s="184">
        <f>'Water Conveyance Cash Flow 2019'!C53</f>
        <v>0</v>
      </c>
      <c r="L55" s="114">
        <f>SUM('Water Conveyance Cash Flow 2019'!J53)</f>
        <v>77856.840231438429</v>
      </c>
      <c r="M55" s="185">
        <f>SUM('Water Conveyance Cash Flow 2019'!D53:H53)</f>
        <v>77136.074162334771</v>
      </c>
      <c r="N55" s="184">
        <f>'Sludge Disposal Cash Flow 2019'!C53</f>
        <v>0</v>
      </c>
      <c r="O55" s="185">
        <f>'Sludge Disposal Cash Flow 2019'!H53-'Sludge Disposal Cash Flow 2019'!C53</f>
        <v>60784.005632965403</v>
      </c>
      <c r="P55" s="184">
        <f>'Salt Disposal Cash Flow 2019'!C53</f>
        <v>0</v>
      </c>
      <c r="Q55" s="186">
        <f>'Salt Disposal Cash Flow 2019'!H53-'Salt Disposal Cash Flow 2019'!C53</f>
        <v>64146.064210272212</v>
      </c>
      <c r="R55" s="197"/>
      <c r="S55" s="199">
        <f t="shared" si="2"/>
        <v>0</v>
      </c>
      <c r="T55" s="200">
        <f t="shared" si="3"/>
        <v>0</v>
      </c>
      <c r="U55" s="191">
        <f t="shared" si="4"/>
        <v>1320622.617617572</v>
      </c>
      <c r="V55" s="185">
        <f t="shared" si="8"/>
        <v>231108.95808307506</v>
      </c>
      <c r="W55" s="184">
        <f t="shared" si="5"/>
        <v>1459908.7256327218</v>
      </c>
      <c r="X55" s="194">
        <f t="shared" si="6"/>
        <v>255484.02698572629</v>
      </c>
      <c r="Y55" s="193">
        <f t="shared" si="7"/>
        <v>3267124.3283190951</v>
      </c>
    </row>
    <row r="56" spans="1:25" ht="13" x14ac:dyDescent="0.3">
      <c r="A56" s="182">
        <v>45</v>
      </c>
      <c r="B56" s="209">
        <f>'Short Term ETS Cash Flow 2019'!C55</f>
        <v>0</v>
      </c>
      <c r="C56" s="178">
        <f>'Short Term ETS Cash Flow 2019'!H55</f>
        <v>0</v>
      </c>
      <c r="D56" s="181">
        <f>SUM('Short Term ETS Cash Flow 2019'!D55:F55)</f>
        <v>0</v>
      </c>
      <c r="E56" s="180">
        <f>'Long Term ETS Cash Flow 2019'!C55</f>
        <v>0</v>
      </c>
      <c r="F56" s="178">
        <f>SUM('Long Term ETS Cash Flow 2019'!M55)</f>
        <v>60810.721884846076</v>
      </c>
      <c r="G56" s="181">
        <f>SUM('Long Term ETS Cash Flow 2019'!D55:J55)</f>
        <v>69794.771619511885</v>
      </c>
      <c r="H56" s="184">
        <f>'TTS Cash Flow'!B55</f>
        <v>0</v>
      </c>
      <c r="I56" s="114">
        <f>SUM('TTS Cash Flow'!F55:K55)</f>
        <v>1176985.8680119596</v>
      </c>
      <c r="J56" s="114">
        <f>SUM('TTS Cash Flow'!C55:E55)</f>
        <v>1188047.8100076378</v>
      </c>
      <c r="K56" s="184">
        <f>'Water Conveyance Cash Flow 2019'!C54</f>
        <v>0</v>
      </c>
      <c r="L56" s="114">
        <f>SUM('Water Conveyance Cash Flow 2019'!J54)</f>
        <v>77679.150734800001</v>
      </c>
      <c r="M56" s="185">
        <f>SUM('Water Conveyance Cash Flow 2019'!D54:H54)</f>
        <v>77136.074162334771</v>
      </c>
      <c r="N56" s="184">
        <f>'Sludge Disposal Cash Flow 2019'!C54</f>
        <v>0</v>
      </c>
      <c r="O56" s="185">
        <f>'Sludge Disposal Cash Flow 2019'!H54-'Sludge Disposal Cash Flow 2019'!C54</f>
        <v>60500.538898458646</v>
      </c>
      <c r="P56" s="184">
        <f>'Salt Disposal Cash Flow 2019'!C54</f>
        <v>0</v>
      </c>
      <c r="Q56" s="186">
        <f>'Salt Disposal Cash Flow 2019'!H54-'Salt Disposal Cash Flow 2019'!C54</f>
        <v>64045.603914493426</v>
      </c>
      <c r="R56" s="197"/>
      <c r="S56" s="199">
        <f t="shared" si="2"/>
        <v>0</v>
      </c>
      <c r="T56" s="200">
        <f t="shared" si="3"/>
        <v>0</v>
      </c>
      <c r="U56" s="191">
        <f t="shared" si="4"/>
        <v>1315475.7406316055</v>
      </c>
      <c r="V56" s="185">
        <f t="shared" si="8"/>
        <v>230208.25461053094</v>
      </c>
      <c r="W56" s="184">
        <f t="shared" si="5"/>
        <v>1459524.7986024364</v>
      </c>
      <c r="X56" s="194">
        <f t="shared" si="6"/>
        <v>255416.83975542636</v>
      </c>
      <c r="Y56" s="193">
        <f t="shared" si="7"/>
        <v>3260625.6335999994</v>
      </c>
    </row>
    <row r="57" spans="1:25" ht="13" x14ac:dyDescent="0.3">
      <c r="A57" s="182">
        <v>46</v>
      </c>
      <c r="B57" s="209">
        <f>'Short Term ETS Cash Flow 2019'!C56</f>
        <v>0</v>
      </c>
      <c r="C57" s="178">
        <f>'Short Term ETS Cash Flow 2019'!H56</f>
        <v>0</v>
      </c>
      <c r="D57" s="181">
        <f>SUM('Short Term ETS Cash Flow 2019'!D56:F56)</f>
        <v>0</v>
      </c>
      <c r="E57" s="180">
        <f>'Long Term ETS Cash Flow 2019'!C56</f>
        <v>0</v>
      </c>
      <c r="F57" s="178">
        <f>SUM('Long Term ETS Cash Flow 2019'!M56)</f>
        <v>59922.313758345546</v>
      </c>
      <c r="G57" s="181">
        <f>SUM('Long Term ETS Cash Flow 2019'!D56:J56)</f>
        <v>69794.771619511885</v>
      </c>
      <c r="H57" s="184">
        <f>'TTS Cash Flow'!B56</f>
        <v>0</v>
      </c>
      <c r="I57" s="114">
        <f>SUM('TTS Cash Flow'!F56:K56)</f>
        <v>1172152.5161277074</v>
      </c>
      <c r="J57" s="114">
        <f>SUM('TTS Cash Flow'!C56:E56)</f>
        <v>1188047.8100076378</v>
      </c>
      <c r="K57" s="184">
        <f>'Water Conveyance Cash Flow 2019'!C55</f>
        <v>0</v>
      </c>
      <c r="L57" s="114">
        <f>SUM('Water Conveyance Cash Flow 2019'!J55)</f>
        <v>77506.680336017263</v>
      </c>
      <c r="M57" s="185">
        <f>SUM('Water Conveyance Cash Flow 2019'!D55:H55)</f>
        <v>77136.074162334771</v>
      </c>
      <c r="N57" s="184">
        <f>'Sludge Disposal Cash Flow 2019'!C55</f>
        <v>0</v>
      </c>
      <c r="O57" s="185">
        <f>'Sludge Disposal Cash Flow 2019'!H55-'Sludge Disposal Cash Flow 2019'!C55</f>
        <v>60224.689290482958</v>
      </c>
      <c r="P57" s="184">
        <f>'Salt Disposal Cash Flow 2019'!C55</f>
        <v>0</v>
      </c>
      <c r="Q57" s="186">
        <f>'Salt Disposal Cash Flow 2019'!H55-'Salt Disposal Cash Flow 2019'!C55</f>
        <v>63948.078801808733</v>
      </c>
      <c r="R57" s="197"/>
      <c r="S57" s="199">
        <f t="shared" si="2"/>
        <v>0</v>
      </c>
      <c r="T57" s="200">
        <f t="shared" si="3"/>
        <v>0</v>
      </c>
      <c r="U57" s="191">
        <f t="shared" si="4"/>
        <v>1309581.5102220702</v>
      </c>
      <c r="V57" s="185">
        <f t="shared" si="8"/>
        <v>229176.76428886226</v>
      </c>
      <c r="W57" s="184">
        <f t="shared" si="5"/>
        <v>1459151.4238817759</v>
      </c>
      <c r="X57" s="194">
        <f t="shared" si="6"/>
        <v>255351.49917931078</v>
      </c>
      <c r="Y57" s="193">
        <f t="shared" si="7"/>
        <v>3253261.197572019</v>
      </c>
    </row>
    <row r="58" spans="1:25" ht="13" x14ac:dyDescent="0.3">
      <c r="A58" s="182">
        <v>47</v>
      </c>
      <c r="B58" s="209">
        <f>'Short Term ETS Cash Flow 2019'!C57</f>
        <v>0</v>
      </c>
      <c r="C58" s="178">
        <f>'Short Term ETS Cash Flow 2019'!H57</f>
        <v>0</v>
      </c>
      <c r="D58" s="181">
        <f>SUM('Short Term ETS Cash Flow 2019'!D57:F57)</f>
        <v>0</v>
      </c>
      <c r="E58" s="180">
        <f>'Long Term ETS Cash Flow 2019'!C57</f>
        <v>0</v>
      </c>
      <c r="F58" s="178">
        <f>SUM('Long Term ETS Cash Flow 2019'!M57)</f>
        <v>59922.313758345546</v>
      </c>
      <c r="G58" s="181">
        <f>SUM('Long Term ETS Cash Flow 2019'!D57:J57)</f>
        <v>69794.771619511885</v>
      </c>
      <c r="H58" s="184">
        <f>'TTS Cash Flow'!B57</f>
        <v>0</v>
      </c>
      <c r="I58" s="114">
        <f>SUM('TTS Cash Flow'!F57:K57)</f>
        <v>1167455.1116583745</v>
      </c>
      <c r="J58" s="114">
        <f>SUM('TTS Cash Flow'!C57:E57)</f>
        <v>1188047.8100076378</v>
      </c>
      <c r="K58" s="184">
        <f>'Water Conveyance Cash Flow 2019'!C56</f>
        <v>0</v>
      </c>
      <c r="L58" s="114">
        <f>SUM('Water Conveyance Cash Flow 2019'!J56)</f>
        <v>77339.576583633738</v>
      </c>
      <c r="M58" s="185">
        <f>SUM('Water Conveyance Cash Flow 2019'!D56:H56)</f>
        <v>77136.074162334771</v>
      </c>
      <c r="N58" s="184">
        <f>'Sludge Disposal Cash Flow 2019'!C56</f>
        <v>0</v>
      </c>
      <c r="O58" s="185">
        <f>'Sludge Disposal Cash Flow 2019'!H56-'Sludge Disposal Cash Flow 2019'!C56</f>
        <v>59956.456807376802</v>
      </c>
      <c r="P58" s="184">
        <f>'Salt Disposal Cash Flow 2019'!C56</f>
        <v>0</v>
      </c>
      <c r="Q58" s="186">
        <f>'Salt Disposal Cash Flow 2019'!H56-'Salt Disposal Cash Flow 2019'!C56</f>
        <v>63853.548939013242</v>
      </c>
      <c r="R58" s="197"/>
      <c r="S58" s="199">
        <f t="shared" si="2"/>
        <v>0</v>
      </c>
      <c r="T58" s="200">
        <f t="shared" si="3"/>
        <v>0</v>
      </c>
      <c r="U58" s="191">
        <f t="shared" si="4"/>
        <v>1304717.0020003538</v>
      </c>
      <c r="V58" s="185">
        <f t="shared" si="8"/>
        <v>228325.4753500619</v>
      </c>
      <c r="W58" s="184">
        <f t="shared" si="5"/>
        <v>1458788.6615358742</v>
      </c>
      <c r="X58" s="194">
        <f t="shared" si="6"/>
        <v>255288.01576877799</v>
      </c>
      <c r="Y58" s="193">
        <f t="shared" si="7"/>
        <v>3247119.1546550677</v>
      </c>
    </row>
    <row r="59" spans="1:25" ht="13" x14ac:dyDescent="0.3">
      <c r="A59" s="182">
        <v>48</v>
      </c>
      <c r="B59" s="209">
        <f>'Short Term ETS Cash Flow 2019'!C58</f>
        <v>0</v>
      </c>
      <c r="C59" s="178">
        <f>'Short Term ETS Cash Flow 2019'!H58</f>
        <v>0</v>
      </c>
      <c r="D59" s="181">
        <f>SUM('Short Term ETS Cash Flow 2019'!D58:F58)</f>
        <v>0</v>
      </c>
      <c r="E59" s="180">
        <f>'Long Term ETS Cash Flow 2019'!C58</f>
        <v>0</v>
      </c>
      <c r="F59" s="178">
        <f>SUM('Long Term ETS Cash Flow 2019'!M58)</f>
        <v>59922.313758345546</v>
      </c>
      <c r="G59" s="181">
        <f>SUM('Long Term ETS Cash Flow 2019'!D58:J58)</f>
        <v>69794.771619511885</v>
      </c>
      <c r="H59" s="184">
        <f>'TTS Cash Flow'!B58</f>
        <v>0</v>
      </c>
      <c r="I59" s="114">
        <f>SUM('TTS Cash Flow'!F58:K58)</f>
        <v>1162872.5612754391</v>
      </c>
      <c r="J59" s="114">
        <f>SUM('TTS Cash Flow'!C58:E58)</f>
        <v>1188047.8100076378</v>
      </c>
      <c r="K59" s="184">
        <f>'Water Conveyance Cash Flow 2019'!C57</f>
        <v>0</v>
      </c>
      <c r="L59" s="114">
        <f>SUM('Water Conveyance Cash Flow 2019'!J57)</f>
        <v>77176.839420392993</v>
      </c>
      <c r="M59" s="185">
        <f>SUM('Water Conveyance Cash Flow 2019'!D57:H57)</f>
        <v>77136.074162334771</v>
      </c>
      <c r="N59" s="184">
        <f>'Sludge Disposal Cash Flow 2019'!C57</f>
        <v>0</v>
      </c>
      <c r="O59" s="185">
        <f>'Sludge Disposal Cash Flow 2019'!H57-'Sludge Disposal Cash Flow 2019'!C57</f>
        <v>59694.676193935025</v>
      </c>
      <c r="P59" s="184">
        <f>'Salt Disposal Cash Flow 2019'!C57</f>
        <v>0</v>
      </c>
      <c r="Q59" s="186">
        <f>'Salt Disposal Cash Flow 2019'!H57-'Salt Disposal Cash Flow 2019'!C57</f>
        <v>63761.48340601792</v>
      </c>
      <c r="R59" s="197"/>
      <c r="S59" s="199">
        <f t="shared" si="2"/>
        <v>0</v>
      </c>
      <c r="T59" s="200">
        <f t="shared" si="3"/>
        <v>0</v>
      </c>
      <c r="U59" s="191">
        <f t="shared" si="4"/>
        <v>1299971.7144541778</v>
      </c>
      <c r="V59" s="185">
        <f t="shared" si="8"/>
        <v>227495.05002948109</v>
      </c>
      <c r="W59" s="184">
        <f t="shared" si="5"/>
        <v>1458434.8153894374</v>
      </c>
      <c r="X59" s="194">
        <f t="shared" si="6"/>
        <v>255226.09269315153</v>
      </c>
      <c r="Y59" s="193">
        <f t="shared" si="7"/>
        <v>3241127.6725662476</v>
      </c>
    </row>
    <row r="60" spans="1:25" ht="13" x14ac:dyDescent="0.3">
      <c r="A60" s="182">
        <v>49</v>
      </c>
      <c r="B60" s="209">
        <f>'Short Term ETS Cash Flow 2019'!C59</f>
        <v>0</v>
      </c>
      <c r="C60" s="178">
        <f>'Short Term ETS Cash Flow 2019'!H59</f>
        <v>0</v>
      </c>
      <c r="D60" s="181">
        <f>SUM('Short Term ETS Cash Flow 2019'!D59:F59)</f>
        <v>0</v>
      </c>
      <c r="E60" s="180">
        <f>'Long Term ETS Cash Flow 2019'!C59</f>
        <v>0</v>
      </c>
      <c r="F60" s="178">
        <f>SUM('Long Term ETS Cash Flow 2019'!M59)</f>
        <v>59922.313758345546</v>
      </c>
      <c r="G60" s="181">
        <f>SUM('Long Term ETS Cash Flow 2019'!D59:J59)</f>
        <v>69794.771619511885</v>
      </c>
      <c r="H60" s="184">
        <f>'TTS Cash Flow'!B59</f>
        <v>0</v>
      </c>
      <c r="I60" s="114">
        <f>SUM('TTS Cash Flow'!F59:K59)</f>
        <v>1158410.4673934572</v>
      </c>
      <c r="J60" s="114">
        <f>SUM('TTS Cash Flow'!C59:E59)</f>
        <v>1188047.8100076378</v>
      </c>
      <c r="K60" s="184">
        <f>'Water Conveyance Cash Flow 2019'!C58</f>
        <v>0</v>
      </c>
      <c r="L60" s="114">
        <f>SUM('Water Conveyance Cash Flow 2019'!J58)</f>
        <v>77018.793358084557</v>
      </c>
      <c r="M60" s="185">
        <f>SUM('Water Conveyance Cash Flow 2019'!D58:H58)</f>
        <v>77136.074162334771</v>
      </c>
      <c r="N60" s="184">
        <f>'Sludge Disposal Cash Flow 2019'!C58</f>
        <v>0</v>
      </c>
      <c r="O60" s="185">
        <f>'Sludge Disposal Cash Flow 2019'!H58-'Sludge Disposal Cash Flow 2019'!C58</f>
        <v>59439.649855874042</v>
      </c>
      <c r="P60" s="184">
        <f>'Salt Disposal Cash Flow 2019'!C58</f>
        <v>0</v>
      </c>
      <c r="Q60" s="186">
        <f>'Salt Disposal Cash Flow 2019'!H58-'Salt Disposal Cash Flow 2019'!C58</f>
        <v>63672.020711629913</v>
      </c>
      <c r="R60" s="197"/>
      <c r="S60" s="199">
        <f t="shared" si="2"/>
        <v>0</v>
      </c>
      <c r="T60" s="200">
        <f t="shared" si="3"/>
        <v>0</v>
      </c>
      <c r="U60" s="191">
        <f t="shared" si="4"/>
        <v>1295351.5745098873</v>
      </c>
      <c r="V60" s="185">
        <f t="shared" si="8"/>
        <v>226686.52553923026</v>
      </c>
      <c r="W60" s="184">
        <f t="shared" si="5"/>
        <v>1458090.3263569882</v>
      </c>
      <c r="X60" s="194">
        <f t="shared" si="6"/>
        <v>255165.80711247292</v>
      </c>
      <c r="Y60" s="193">
        <f t="shared" si="7"/>
        <v>3235294.233518579</v>
      </c>
    </row>
    <row r="61" spans="1:25" ht="13" x14ac:dyDescent="0.3">
      <c r="A61" s="182">
        <v>50</v>
      </c>
      <c r="B61" s="209">
        <f>'Short Term ETS Cash Flow 2019'!C60</f>
        <v>0</v>
      </c>
      <c r="C61" s="178">
        <f>'Short Term ETS Cash Flow 2019'!H60</f>
        <v>0</v>
      </c>
      <c r="D61" s="181">
        <f>SUM('Short Term ETS Cash Flow 2019'!D60:F60)</f>
        <v>0</v>
      </c>
      <c r="E61" s="180">
        <f>'Long Term ETS Cash Flow 2019'!C60</f>
        <v>0</v>
      </c>
      <c r="F61" s="178">
        <f>SUM('Long Term ETS Cash Flow 2019'!M60)</f>
        <v>59922.313758345546</v>
      </c>
      <c r="G61" s="181">
        <f>SUM('Long Term ETS Cash Flow 2019'!D60:J60)</f>
        <v>69794.771619511885</v>
      </c>
      <c r="H61" s="184">
        <f>'TTS Cash Flow'!B60</f>
        <v>0</v>
      </c>
      <c r="I61" s="114">
        <f>SUM('TTS Cash Flow'!F60:K60)</f>
        <v>1152588.2154543852</v>
      </c>
      <c r="J61" s="114">
        <f>SUM('TTS Cash Flow'!C60:E60)</f>
        <v>1188047.8100076378</v>
      </c>
      <c r="K61" s="184">
        <f>'Water Conveyance Cash Flow 2019'!C59</f>
        <v>0</v>
      </c>
      <c r="L61" s="114">
        <f>SUM('Water Conveyance Cash Flow 2019'!J59)</f>
        <v>76798.311869503013</v>
      </c>
      <c r="M61" s="185">
        <f>SUM('Water Conveyance Cash Flow 2019'!D59:H59)</f>
        <v>77136.074162334771</v>
      </c>
      <c r="N61" s="184">
        <f>'Sludge Disposal Cash Flow 2019'!C59</f>
        <v>0</v>
      </c>
      <c r="O61" s="185">
        <f>'Sludge Disposal Cash Flow 2019'!H59-'Sludge Disposal Cash Flow 2019'!C59</f>
        <v>59111.24596104279</v>
      </c>
      <c r="P61" s="184">
        <f>'Salt Disposal Cash Flow 2019'!C59</f>
        <v>0</v>
      </c>
      <c r="Q61" s="186">
        <f>'Salt Disposal Cash Flow 2019'!H59-'Salt Disposal Cash Flow 2019'!C59</f>
        <v>63548.490049815598</v>
      </c>
      <c r="R61" s="197"/>
      <c r="S61" s="199">
        <f t="shared" si="2"/>
        <v>0</v>
      </c>
      <c r="T61" s="200">
        <f t="shared" si="3"/>
        <v>0</v>
      </c>
      <c r="U61" s="191">
        <f t="shared" si="4"/>
        <v>1289308.8410822337</v>
      </c>
      <c r="V61" s="185">
        <f t="shared" si="8"/>
        <v>225629.0471893909</v>
      </c>
      <c r="W61" s="184">
        <f t="shared" si="5"/>
        <v>1457638.3918003426</v>
      </c>
      <c r="X61" s="194">
        <f t="shared" si="6"/>
        <v>255086.71856505994</v>
      </c>
      <c r="Y61" s="193">
        <f t="shared" si="7"/>
        <v>3227662.9986370271</v>
      </c>
    </row>
    <row r="62" spans="1:25" ht="13" x14ac:dyDescent="0.3">
      <c r="A62" s="182">
        <v>51</v>
      </c>
      <c r="B62" s="209">
        <f>'Short Term ETS Cash Flow 2019'!C61</f>
        <v>0</v>
      </c>
      <c r="C62" s="178">
        <f>'Short Term ETS Cash Flow 2019'!H61</f>
        <v>0</v>
      </c>
      <c r="D62" s="181">
        <f>SUM('Short Term ETS Cash Flow 2019'!D61:F61)</f>
        <v>0</v>
      </c>
      <c r="E62" s="180">
        <f>'Long Term ETS Cash Flow 2019'!C61</f>
        <v>0</v>
      </c>
      <c r="F62" s="178">
        <f>SUM('Long Term ETS Cash Flow 2019'!M61)</f>
        <v>59033.905631845002</v>
      </c>
      <c r="G62" s="181">
        <f>SUM('Long Term ETS Cash Flow 2019'!D61:J61)</f>
        <v>69794.771619511885</v>
      </c>
      <c r="H62" s="184">
        <f>'TTS Cash Flow'!B61</f>
        <v>0</v>
      </c>
      <c r="I62" s="114">
        <f>SUM('TTS Cash Flow'!F61:K61)</f>
        <v>1146385.4372023896</v>
      </c>
      <c r="J62" s="114">
        <f>SUM('TTS Cash Flow'!C61:E61)</f>
        <v>1188047.8100076378</v>
      </c>
      <c r="K62" s="184">
        <f>'Water Conveyance Cash Flow 2019'!C60</f>
        <v>0</v>
      </c>
      <c r="L62" s="114">
        <f>SUM('Water Conveyance Cash Flow 2019'!J60)</f>
        <v>76382.197914384145</v>
      </c>
      <c r="M62" s="185">
        <f>SUM('Water Conveyance Cash Flow 2019'!D60:H60)</f>
        <v>77136.074162334771</v>
      </c>
      <c r="N62" s="184">
        <f>'Sludge Disposal Cash Flow 2019'!C60</f>
        <v>0</v>
      </c>
      <c r="O62" s="185">
        <f>'Sludge Disposal Cash Flow 2019'!H60-'Sludge Disposal Cash Flow 2019'!C60</f>
        <v>58824.782632822418</v>
      </c>
      <c r="P62" s="184">
        <f>'Salt Disposal Cash Flow 2019'!C60</f>
        <v>0</v>
      </c>
      <c r="Q62" s="186">
        <f>'Salt Disposal Cash Flow 2019'!H60-'Salt Disposal Cash Flow 2019'!C60</f>
        <v>63317.405917834454</v>
      </c>
      <c r="R62" s="197"/>
      <c r="S62" s="199">
        <f t="shared" si="2"/>
        <v>0</v>
      </c>
      <c r="T62" s="200">
        <f t="shared" si="3"/>
        <v>0</v>
      </c>
      <c r="U62" s="191">
        <f t="shared" si="4"/>
        <v>1281801.5407486188</v>
      </c>
      <c r="V62" s="185">
        <f t="shared" si="8"/>
        <v>224315.26963100827</v>
      </c>
      <c r="W62" s="184">
        <f t="shared" si="5"/>
        <v>1457120.8443401412</v>
      </c>
      <c r="X62" s="194">
        <f t="shared" si="6"/>
        <v>254996.1477595247</v>
      </c>
      <c r="Y62" s="193">
        <f t="shared" si="7"/>
        <v>3218233.8024792927</v>
      </c>
    </row>
    <row r="63" spans="1:25" ht="13" x14ac:dyDescent="0.3">
      <c r="A63" s="182">
        <v>52</v>
      </c>
      <c r="B63" s="209">
        <f>'Short Term ETS Cash Flow 2019'!C62</f>
        <v>0</v>
      </c>
      <c r="C63" s="178">
        <f>'Short Term ETS Cash Flow 2019'!H62</f>
        <v>0</v>
      </c>
      <c r="D63" s="181">
        <f>SUM('Short Term ETS Cash Flow 2019'!D62:F62)</f>
        <v>0</v>
      </c>
      <c r="E63" s="180">
        <f>'Long Term ETS Cash Flow 2019'!C62</f>
        <v>0</v>
      </c>
      <c r="F63" s="178">
        <f>SUM('Long Term ETS Cash Flow 2019'!M62)</f>
        <v>59033.905631845002</v>
      </c>
      <c r="G63" s="181">
        <f>SUM('Long Term ETS Cash Flow 2019'!D62:J62)</f>
        <v>69794.771619511885</v>
      </c>
      <c r="H63" s="184">
        <f>'TTS Cash Flow'!B62</f>
        <v>0</v>
      </c>
      <c r="I63" s="114">
        <f>SUM('TTS Cash Flow'!F62:K62)</f>
        <v>1142954.1813478998</v>
      </c>
      <c r="J63" s="114">
        <f>SUM('TTS Cash Flow'!C62:E62)</f>
        <v>1188047.8100076378</v>
      </c>
      <c r="K63" s="184">
        <f>'Water Conveyance Cash Flow 2019'!C61</f>
        <v>0</v>
      </c>
      <c r="L63" s="114">
        <f>SUM('Water Conveyance Cash Flow 2019'!J61)</f>
        <v>76240.863144533549</v>
      </c>
      <c r="M63" s="185">
        <f>SUM('Water Conveyance Cash Flow 2019'!D61:H61)</f>
        <v>77136.074162334771</v>
      </c>
      <c r="N63" s="184">
        <f>'Sludge Disposal Cash Flow 2019'!C61</f>
        <v>0</v>
      </c>
      <c r="O63" s="185">
        <f>'Sludge Disposal Cash Flow 2019'!H61-'Sludge Disposal Cash Flow 2019'!C61</f>
        <v>58634.731913566138</v>
      </c>
      <c r="P63" s="184">
        <f>'Salt Disposal Cash Flow 2019'!C61</f>
        <v>0</v>
      </c>
      <c r="Q63" s="186">
        <f>'Salt Disposal Cash Flow 2019'!H61-'Salt Disposal Cash Flow 2019'!C61</f>
        <v>63239.130020674769</v>
      </c>
      <c r="R63" s="197"/>
      <c r="S63" s="199">
        <f t="shared" si="2"/>
        <v>0</v>
      </c>
      <c r="T63" s="200">
        <f t="shared" si="3"/>
        <v>0</v>
      </c>
      <c r="U63" s="191">
        <f t="shared" si="4"/>
        <v>1278228.9501242784</v>
      </c>
      <c r="V63" s="185">
        <f t="shared" si="8"/>
        <v>223690.06627174871</v>
      </c>
      <c r="W63" s="184">
        <f t="shared" si="5"/>
        <v>1456852.5177237252</v>
      </c>
      <c r="X63" s="194">
        <f t="shared" si="6"/>
        <v>254949.19060165188</v>
      </c>
      <c r="Y63" s="193">
        <f t="shared" si="7"/>
        <v>3213720.7247214043</v>
      </c>
    </row>
    <row r="64" spans="1:25" ht="13" x14ac:dyDescent="0.3">
      <c r="A64" s="182">
        <v>53</v>
      </c>
      <c r="B64" s="209">
        <f>'Short Term ETS Cash Flow 2019'!C63</f>
        <v>0</v>
      </c>
      <c r="C64" s="178">
        <f>'Short Term ETS Cash Flow 2019'!H63</f>
        <v>0</v>
      </c>
      <c r="D64" s="181">
        <f>SUM('Short Term ETS Cash Flow 2019'!D63:F63)</f>
        <v>0</v>
      </c>
      <c r="E64" s="180">
        <f>'Long Term ETS Cash Flow 2019'!C63</f>
        <v>0</v>
      </c>
      <c r="F64" s="178">
        <f>SUM('Long Term ETS Cash Flow 2019'!M63)</f>
        <v>59033.905631845002</v>
      </c>
      <c r="G64" s="181">
        <f>SUM('Long Term ETS Cash Flow 2019'!D63:J63)</f>
        <v>69794.771619511885</v>
      </c>
      <c r="H64" s="184">
        <f>'TTS Cash Flow'!B63</f>
        <v>0</v>
      </c>
      <c r="I64" s="114">
        <f>SUM('TTS Cash Flow'!F63:K63)</f>
        <v>1139609.2325582874</v>
      </c>
      <c r="J64" s="114">
        <f>SUM('TTS Cash Flow'!C63:E63)</f>
        <v>1188047.8100076378</v>
      </c>
      <c r="K64" s="184">
        <f>'Water Conveyance Cash Flow 2019'!C62</f>
        <v>0</v>
      </c>
      <c r="L64" s="114">
        <f>SUM('Water Conveyance Cash Flow 2019'!J62)</f>
        <v>76103.162939781701</v>
      </c>
      <c r="M64" s="185">
        <f>SUM('Water Conveyance Cash Flow 2019'!D62:H62)</f>
        <v>77136.074162334771</v>
      </c>
      <c r="N64" s="184">
        <f>'Sludge Disposal Cash Flow 2019'!C62</f>
        <v>0</v>
      </c>
      <c r="O64" s="185">
        <f>'Sludge Disposal Cash Flow 2019'!H62-'Sludge Disposal Cash Flow 2019'!C62</f>
        <v>58449.436685238004</v>
      </c>
      <c r="P64" s="184">
        <f>'Salt Disposal Cash Flow 2019'!C62</f>
        <v>0</v>
      </c>
      <c r="Q64" s="186">
        <f>'Salt Disposal Cash Flow 2019'!H62-'Salt Disposal Cash Flow 2019'!C62</f>
        <v>63162.846588211658</v>
      </c>
      <c r="R64" s="197"/>
      <c r="S64" s="199">
        <f t="shared" si="2"/>
        <v>0</v>
      </c>
      <c r="T64" s="200">
        <f t="shared" si="3"/>
        <v>0</v>
      </c>
      <c r="U64" s="191">
        <f t="shared" si="4"/>
        <v>1274746.3011299144</v>
      </c>
      <c r="V64" s="185">
        <f t="shared" si="8"/>
        <v>223080.60269773501</v>
      </c>
      <c r="W64" s="184">
        <f t="shared" si="5"/>
        <v>1456590.9390629339</v>
      </c>
      <c r="X64" s="194">
        <f t="shared" si="6"/>
        <v>254903.4143360134</v>
      </c>
      <c r="Y64" s="193">
        <f t="shared" si="7"/>
        <v>3209321.2572265966</v>
      </c>
    </row>
    <row r="65" spans="1:25" ht="13" x14ac:dyDescent="0.3">
      <c r="A65" s="182">
        <v>54</v>
      </c>
      <c r="B65" s="209">
        <f>'Short Term ETS Cash Flow 2019'!C64</f>
        <v>0</v>
      </c>
      <c r="C65" s="178">
        <f>'Short Term ETS Cash Flow 2019'!H64</f>
        <v>0</v>
      </c>
      <c r="D65" s="181">
        <f>SUM('Short Term ETS Cash Flow 2019'!D64:F64)</f>
        <v>0</v>
      </c>
      <c r="E65" s="180">
        <f>'Long Term ETS Cash Flow 2019'!C64</f>
        <v>0</v>
      </c>
      <c r="F65" s="178">
        <f>SUM('Long Term ETS Cash Flow 2019'!M64)</f>
        <v>59033.905631845002</v>
      </c>
      <c r="G65" s="181">
        <f>SUM('Long Term ETS Cash Flow 2019'!D64:J64)</f>
        <v>69794.771619511885</v>
      </c>
      <c r="H65" s="184">
        <f>'TTS Cash Flow'!B64</f>
        <v>0</v>
      </c>
      <c r="I65" s="114">
        <f>SUM('TTS Cash Flow'!F64:K64)</f>
        <v>1136351.1628489844</v>
      </c>
      <c r="J65" s="114">
        <f>SUM('TTS Cash Flow'!C64:E64)</f>
        <v>1188047.8100076378</v>
      </c>
      <c r="K65" s="184">
        <f>'Water Conveyance Cash Flow 2019'!C63</f>
        <v>0</v>
      </c>
      <c r="L65" s="114">
        <f>SUM('Water Conveyance Cash Flow 2019'!J63)</f>
        <v>75969.220159968158</v>
      </c>
      <c r="M65" s="185">
        <f>SUM('Water Conveyance Cash Flow 2019'!D63:H63)</f>
        <v>77136.074162334771</v>
      </c>
      <c r="N65" s="184">
        <f>'Sludge Disposal Cash Flow 2019'!C63</f>
        <v>0</v>
      </c>
      <c r="O65" s="185">
        <f>'Sludge Disposal Cash Flow 2019'!H63-'Sludge Disposal Cash Flow 2019'!C63</f>
        <v>58268.932386565575</v>
      </c>
      <c r="P65" s="184">
        <f>'Salt Disposal Cash Flow 2019'!C63</f>
        <v>0</v>
      </c>
      <c r="Q65" s="186">
        <f>'Salt Disposal Cash Flow 2019'!H63-'Salt Disposal Cash Flow 2019'!C63</f>
        <v>63088.575235332784</v>
      </c>
      <c r="R65" s="197"/>
      <c r="S65" s="199">
        <f t="shared" si="2"/>
        <v>0</v>
      </c>
      <c r="T65" s="200">
        <f t="shared" si="3"/>
        <v>0</v>
      </c>
      <c r="U65" s="191">
        <f t="shared" si="4"/>
        <v>1271354.2886407974</v>
      </c>
      <c r="V65" s="185">
        <f t="shared" si="8"/>
        <v>222487.00051213952</v>
      </c>
      <c r="W65" s="184">
        <f t="shared" si="5"/>
        <v>1456336.1634113826</v>
      </c>
      <c r="X65" s="194">
        <f t="shared" si="6"/>
        <v>254858.82859699192</v>
      </c>
      <c r="Y65" s="193">
        <f t="shared" si="7"/>
        <v>3205036.2811613115</v>
      </c>
    </row>
    <row r="66" spans="1:25" ht="13" x14ac:dyDescent="0.3">
      <c r="A66" s="182">
        <v>55</v>
      </c>
      <c r="B66" s="209">
        <f>'Short Term ETS Cash Flow 2019'!C65</f>
        <v>0</v>
      </c>
      <c r="C66" s="178">
        <f>'Short Term ETS Cash Flow 2019'!H65</f>
        <v>0</v>
      </c>
      <c r="D66" s="181">
        <f>SUM('Short Term ETS Cash Flow 2019'!D65:F65)</f>
        <v>0</v>
      </c>
      <c r="E66" s="180">
        <f>'Long Term ETS Cash Flow 2019'!C65</f>
        <v>0</v>
      </c>
      <c r="F66" s="178">
        <f>SUM('Long Term ETS Cash Flow 2019'!M65)</f>
        <v>59033.905631845002</v>
      </c>
      <c r="G66" s="181">
        <f>SUM('Long Term ETS Cash Flow 2019'!D65:J65)</f>
        <v>69794.771619511885</v>
      </c>
      <c r="H66" s="184">
        <f>'TTS Cash Flow'!B65</f>
        <v>0</v>
      </c>
      <c r="I66" s="114">
        <f>SUM('TTS Cash Flow'!F65:K65)</f>
        <v>1133174.9892338379</v>
      </c>
      <c r="J66" s="114">
        <f>SUM('TTS Cash Flow'!C65:E65)</f>
        <v>1188047.8100076378</v>
      </c>
      <c r="K66" s="184">
        <f>'Water Conveyance Cash Flow 2019'!C64</f>
        <v>0</v>
      </c>
      <c r="L66" s="114">
        <f>SUM('Water Conveyance Cash Flow 2019'!J64)</f>
        <v>75838.584437734258</v>
      </c>
      <c r="M66" s="185">
        <f>SUM('Water Conveyance Cash Flow 2019'!D64:H64)</f>
        <v>77136.074162334771</v>
      </c>
      <c r="N66" s="184">
        <f>'Sludge Disposal Cash Flow 2019'!C64</f>
        <v>0</v>
      </c>
      <c r="O66" s="185">
        <f>'Sludge Disposal Cash Flow 2019'!H64-'Sludge Disposal Cash Flow 2019'!C64</f>
        <v>58092.932127513195</v>
      </c>
      <c r="P66" s="184">
        <f>'Salt Disposal Cash Flow 2019'!C64</f>
        <v>0</v>
      </c>
      <c r="Q66" s="186">
        <f>'Salt Disposal Cash Flow 2019'!H64-'Salt Disposal Cash Flow 2019'!C64</f>
        <v>63016.235430181048</v>
      </c>
      <c r="R66" s="197"/>
      <c r="S66" s="199">
        <f t="shared" si="2"/>
        <v>0</v>
      </c>
      <c r="T66" s="200">
        <f t="shared" si="3"/>
        <v>0</v>
      </c>
      <c r="U66" s="191">
        <f t="shared" si="4"/>
        <v>1268047.479303417</v>
      </c>
      <c r="V66" s="185">
        <f t="shared" si="8"/>
        <v>221908.30887809797</v>
      </c>
      <c r="W66" s="184">
        <f t="shared" si="5"/>
        <v>1456087.8233471785</v>
      </c>
      <c r="X66" s="194">
        <f t="shared" si="6"/>
        <v>254815.36908575622</v>
      </c>
      <c r="Y66" s="193">
        <f t="shared" si="7"/>
        <v>3200858.9806144498</v>
      </c>
    </row>
    <row r="67" spans="1:25" ht="13" x14ac:dyDescent="0.3">
      <c r="A67" s="182">
        <v>56</v>
      </c>
      <c r="B67" s="209">
        <f>'Short Term ETS Cash Flow 2019'!C66</f>
        <v>0</v>
      </c>
      <c r="C67" s="178">
        <f>'Short Term ETS Cash Flow 2019'!H66</f>
        <v>0</v>
      </c>
      <c r="D67" s="181">
        <f>SUM('Short Term ETS Cash Flow 2019'!D66:F66)</f>
        <v>0</v>
      </c>
      <c r="E67" s="180">
        <f>'Long Term ETS Cash Flow 2019'!C66</f>
        <v>0</v>
      </c>
      <c r="F67" s="178">
        <f>SUM('Long Term ETS Cash Flow 2019'!M66)</f>
        <v>59033.905631845002</v>
      </c>
      <c r="G67" s="181">
        <f>SUM('Long Term ETS Cash Flow 2019'!D66:J66)</f>
        <v>69794.771619511885</v>
      </c>
      <c r="H67" s="184">
        <f>'TTS Cash Flow'!B66</f>
        <v>0</v>
      </c>
      <c r="I67" s="114">
        <f>SUM('TTS Cash Flow'!F66:K66)</f>
        <v>1130077.3249617964</v>
      </c>
      <c r="J67" s="114">
        <f>SUM('TTS Cash Flow'!C66:E66)</f>
        <v>1188047.8100076378</v>
      </c>
      <c r="K67" s="184">
        <f>'Water Conveyance Cash Flow 2019'!C65</f>
        <v>0</v>
      </c>
      <c r="L67" s="114">
        <f>SUM('Water Conveyance Cash Flow 2019'!J65)</f>
        <v>75711.244258641775</v>
      </c>
      <c r="M67" s="185">
        <f>SUM('Water Conveyance Cash Flow 2019'!D65:H65)</f>
        <v>77136.074162334771</v>
      </c>
      <c r="N67" s="184">
        <f>'Sludge Disposal Cash Flow 2019'!C65</f>
        <v>0</v>
      </c>
      <c r="O67" s="185">
        <f>'Sludge Disposal Cash Flow 2019'!H65-'Sludge Disposal Cash Flow 2019'!C65</f>
        <v>57921.257116061068</v>
      </c>
      <c r="P67" s="184">
        <f>'Salt Disposal Cash Flow 2019'!C65</f>
        <v>0</v>
      </c>
      <c r="Q67" s="186">
        <f>'Salt Disposal Cash Flow 2019'!H65-'Salt Disposal Cash Flow 2019'!C65</f>
        <v>62945.728548665742</v>
      </c>
      <c r="R67" s="197"/>
      <c r="S67" s="199">
        <f t="shared" si="2"/>
        <v>0</v>
      </c>
      <c r="T67" s="200">
        <f t="shared" si="3"/>
        <v>0</v>
      </c>
      <c r="U67" s="191">
        <f t="shared" si="4"/>
        <v>1264822.474852283</v>
      </c>
      <c r="V67" s="185">
        <f t="shared" si="8"/>
        <v>221343.93309914952</v>
      </c>
      <c r="W67" s="184">
        <f t="shared" si="5"/>
        <v>1455845.6414542112</v>
      </c>
      <c r="X67" s="194">
        <f t="shared" si="6"/>
        <v>254772.98725448694</v>
      </c>
      <c r="Y67" s="193">
        <f t="shared" si="7"/>
        <v>3196785.0366601306</v>
      </c>
    </row>
    <row r="68" spans="1:25" ht="13" x14ac:dyDescent="0.3">
      <c r="A68" s="182">
        <v>57</v>
      </c>
      <c r="B68" s="209">
        <f>'Short Term ETS Cash Flow 2019'!C67</f>
        <v>0</v>
      </c>
      <c r="C68" s="178">
        <f>'Short Term ETS Cash Flow 2019'!H67</f>
        <v>0</v>
      </c>
      <c r="D68" s="181">
        <f>SUM('Short Term ETS Cash Flow 2019'!D67:F67)</f>
        <v>0</v>
      </c>
      <c r="E68" s="180">
        <f>'Long Term ETS Cash Flow 2019'!C67</f>
        <v>0</v>
      </c>
      <c r="F68" s="178">
        <f>SUM('Long Term ETS Cash Flow 2019'!M67)</f>
        <v>59033.905631845002</v>
      </c>
      <c r="G68" s="181">
        <f>SUM('Long Term ETS Cash Flow 2019'!D67:J67)</f>
        <v>69794.771619511885</v>
      </c>
      <c r="H68" s="184">
        <f>'TTS Cash Flow'!B67</f>
        <v>0</v>
      </c>
      <c r="I68" s="114">
        <f>SUM('TTS Cash Flow'!F67:K67)</f>
        <v>1127058.7390999047</v>
      </c>
      <c r="J68" s="114">
        <f>SUM('TTS Cash Flow'!C67:E67)</f>
        <v>1188047.8100076378</v>
      </c>
      <c r="K68" s="184">
        <f>'Water Conveyance Cash Flow 2019'!C66</f>
        <v>0</v>
      </c>
      <c r="L68" s="114">
        <f>SUM('Water Conveyance Cash Flow 2019'!J66)</f>
        <v>75587.229559413114</v>
      </c>
      <c r="M68" s="185">
        <f>SUM('Water Conveyance Cash Flow 2019'!D66:H66)</f>
        <v>77136.074162334771</v>
      </c>
      <c r="N68" s="184">
        <f>'Sludge Disposal Cash Flow 2019'!C66</f>
        <v>0</v>
      </c>
      <c r="O68" s="185">
        <f>'Sludge Disposal Cash Flow 2019'!H66-'Sludge Disposal Cash Flow 2019'!C66</f>
        <v>57753.931086438359</v>
      </c>
      <c r="P68" s="184">
        <f>'Salt Disposal Cash Flow 2019'!C66</f>
        <v>0</v>
      </c>
      <c r="Q68" s="186">
        <f>'Salt Disposal Cash Flow 2019'!H66-'Salt Disposal Cash Flow 2019'!C66</f>
        <v>62877.048504685466</v>
      </c>
      <c r="R68" s="197"/>
      <c r="S68" s="199">
        <f t="shared" si="2"/>
        <v>0</v>
      </c>
      <c r="T68" s="200">
        <f t="shared" si="3"/>
        <v>0</v>
      </c>
      <c r="U68" s="191">
        <f t="shared" si="4"/>
        <v>1261679.8742911629</v>
      </c>
      <c r="V68" s="185">
        <f t="shared" si="8"/>
        <v>220793.9780009535</v>
      </c>
      <c r="W68" s="184">
        <f t="shared" si="5"/>
        <v>1455609.635380608</v>
      </c>
      <c r="X68" s="194">
        <f t="shared" si="6"/>
        <v>254731.68619160639</v>
      </c>
      <c r="Y68" s="193">
        <f t="shared" si="7"/>
        <v>3192815.1738643311</v>
      </c>
    </row>
    <row r="69" spans="1:25" ht="13" x14ac:dyDescent="0.3">
      <c r="A69" s="182">
        <v>58</v>
      </c>
      <c r="B69" s="209">
        <f>'Short Term ETS Cash Flow 2019'!C68</f>
        <v>0</v>
      </c>
      <c r="C69" s="178">
        <f>'Short Term ETS Cash Flow 2019'!H68</f>
        <v>0</v>
      </c>
      <c r="D69" s="181">
        <f>SUM('Short Term ETS Cash Flow 2019'!D68:F68)</f>
        <v>0</v>
      </c>
      <c r="E69" s="180">
        <f>'Long Term ETS Cash Flow 2019'!C68</f>
        <v>0</v>
      </c>
      <c r="F69" s="178">
        <f>SUM('Long Term ETS Cash Flow 2019'!M68)</f>
        <v>58145.497505344458</v>
      </c>
      <c r="G69" s="181">
        <f>SUM('Long Term ETS Cash Flow 2019'!D68:J68)</f>
        <v>69794.771619511885</v>
      </c>
      <c r="H69" s="184">
        <f>'TTS Cash Flow'!B68</f>
        <v>0</v>
      </c>
      <c r="I69" s="114">
        <f>SUM('TTS Cash Flow'!F68:K68)</f>
        <v>1124112.2855822823</v>
      </c>
      <c r="J69" s="114">
        <f>SUM('TTS Cash Flow'!C68:E68)</f>
        <v>1188047.8100076378</v>
      </c>
      <c r="K69" s="184">
        <f>'Water Conveyance Cash Flow 2019'!C67</f>
        <v>0</v>
      </c>
      <c r="L69" s="114">
        <f>SUM('Water Conveyance Cash Flow 2019'!J67)</f>
        <v>75466.116106796122</v>
      </c>
      <c r="M69" s="185">
        <f>SUM('Water Conveyance Cash Flow 2019'!D67:H67)</f>
        <v>77136.074162334771</v>
      </c>
      <c r="N69" s="184">
        <f>'Sludge Disposal Cash Flow 2019'!C67</f>
        <v>0</v>
      </c>
      <c r="O69" s="185">
        <f>'Sludge Disposal Cash Flow 2019'!H67-'Sludge Disposal Cash Flow 2019'!C67</f>
        <v>57590.579039337303</v>
      </c>
      <c r="P69" s="184">
        <f>'Salt Disposal Cash Flow 2019'!C67</f>
        <v>0</v>
      </c>
      <c r="Q69" s="186">
        <f>'Salt Disposal Cash Flow 2019'!H67-'Salt Disposal Cash Flow 2019'!C67</f>
        <v>62810.076653388729</v>
      </c>
      <c r="R69" s="197"/>
      <c r="S69" s="199">
        <f t="shared" si="2"/>
        <v>0</v>
      </c>
      <c r="T69" s="200">
        <f t="shared" si="3"/>
        <v>0</v>
      </c>
      <c r="U69" s="191">
        <f t="shared" si="4"/>
        <v>1257723.8991944229</v>
      </c>
      <c r="V69" s="185">
        <f t="shared" si="8"/>
        <v>220101.68235902398</v>
      </c>
      <c r="W69" s="184">
        <f t="shared" si="5"/>
        <v>1455379.3114822104</v>
      </c>
      <c r="X69" s="194">
        <f t="shared" si="6"/>
        <v>254691.37950938681</v>
      </c>
      <c r="Y69" s="193">
        <f t="shared" si="7"/>
        <v>3187896.2725450438</v>
      </c>
    </row>
    <row r="70" spans="1:25" ht="13" x14ac:dyDescent="0.3">
      <c r="A70" s="182">
        <v>59</v>
      </c>
      <c r="B70" s="209">
        <f>'Short Term ETS Cash Flow 2019'!C69</f>
        <v>0</v>
      </c>
      <c r="C70" s="178">
        <f>'Short Term ETS Cash Flow 2019'!H69</f>
        <v>0</v>
      </c>
      <c r="D70" s="181">
        <f>SUM('Short Term ETS Cash Flow 2019'!D69:F69)</f>
        <v>0</v>
      </c>
      <c r="E70" s="180">
        <f>'Long Term ETS Cash Flow 2019'!C69</f>
        <v>0</v>
      </c>
      <c r="F70" s="178">
        <f>SUM('Long Term ETS Cash Flow 2019'!M69)</f>
        <v>58145.497505344458</v>
      </c>
      <c r="G70" s="181">
        <f>SUM('Long Term ETS Cash Flow 2019'!D69:J69)</f>
        <v>69794.771619511885</v>
      </c>
      <c r="H70" s="184">
        <f>'TTS Cash Flow'!B69</f>
        <v>0</v>
      </c>
      <c r="I70" s="114">
        <f>SUM('TTS Cash Flow'!F69:K69)</f>
        <v>1121236.38054157</v>
      </c>
      <c r="J70" s="114">
        <f>SUM('TTS Cash Flow'!C69:E69)</f>
        <v>1188047.8100076378</v>
      </c>
      <c r="K70" s="184">
        <f>'Water Conveyance Cash Flow 2019'!C68</f>
        <v>0</v>
      </c>
      <c r="L70" s="114">
        <f>SUM('Water Conveyance Cash Flow 2019'!J68)</f>
        <v>75348.215447701587</v>
      </c>
      <c r="M70" s="185">
        <f>SUM('Water Conveyance Cash Flow 2019'!D68:H68)</f>
        <v>77136.074162334771</v>
      </c>
      <c r="N70" s="184">
        <f>'Sludge Disposal Cash Flow 2019'!C68</f>
        <v>0</v>
      </c>
      <c r="O70" s="185">
        <f>'Sludge Disposal Cash Flow 2019'!H68-'Sludge Disposal Cash Flow 2019'!C68</f>
        <v>57431.118097787505</v>
      </c>
      <c r="P70" s="184">
        <f>'Salt Disposal Cash Flow 2019'!C68</f>
        <v>0</v>
      </c>
      <c r="Q70" s="186">
        <f>'Salt Disposal Cash Flow 2019'!H68-'Salt Disposal Cash Flow 2019'!C68</f>
        <v>62744.730960588073</v>
      </c>
      <c r="R70" s="197"/>
      <c r="S70" s="199">
        <f t="shared" si="2"/>
        <v>0</v>
      </c>
      <c r="T70" s="200">
        <f t="shared" si="3"/>
        <v>0</v>
      </c>
      <c r="U70" s="191">
        <f t="shared" si="4"/>
        <v>1254730.093494616</v>
      </c>
      <c r="V70" s="185">
        <f t="shared" si="8"/>
        <v>219577.76636155779</v>
      </c>
      <c r="W70" s="184">
        <f t="shared" si="5"/>
        <v>1455154.5048478597</v>
      </c>
      <c r="X70" s="194">
        <f t="shared" si="6"/>
        <v>254652.03834837544</v>
      </c>
      <c r="Y70" s="193">
        <f t="shared" si="7"/>
        <v>3184114.4030524087</v>
      </c>
    </row>
    <row r="71" spans="1:25" ht="13" x14ac:dyDescent="0.3">
      <c r="A71" s="182">
        <v>60</v>
      </c>
      <c r="B71" s="209">
        <f>'Short Term ETS Cash Flow 2019'!C70</f>
        <v>0</v>
      </c>
      <c r="C71" s="178">
        <f>'Short Term ETS Cash Flow 2019'!H70</f>
        <v>0</v>
      </c>
      <c r="D71" s="181">
        <f>SUM('Short Term ETS Cash Flow 2019'!D70:F70)</f>
        <v>0</v>
      </c>
      <c r="E71" s="180">
        <f>'Long Term ETS Cash Flow 2019'!C70</f>
        <v>0</v>
      </c>
      <c r="F71" s="178">
        <f>SUM('Long Term ETS Cash Flow 2019'!M70)</f>
        <v>58145.497505344458</v>
      </c>
      <c r="G71" s="181">
        <f>SUM('Long Term ETS Cash Flow 2019'!D70:J70)</f>
        <v>69794.771619511885</v>
      </c>
      <c r="H71" s="184">
        <f>'TTS Cash Flow'!B70</f>
        <v>0</v>
      </c>
      <c r="I71" s="114">
        <f>SUM('TTS Cash Flow'!F70:K70)</f>
        <v>1118436.2587929596</v>
      </c>
      <c r="J71" s="114">
        <f>SUM('TTS Cash Flow'!C70:E70)</f>
        <v>1188047.8100076378</v>
      </c>
      <c r="K71" s="184">
        <f>'Water Conveyance Cash Flow 2019'!C69</f>
        <v>0</v>
      </c>
      <c r="L71" s="114">
        <f>SUM('Water Conveyance Cash Flow 2019'!J69)</f>
        <v>75233.409009108625</v>
      </c>
      <c r="M71" s="185">
        <f>SUM('Water Conveyance Cash Flow 2019'!D69:H69)</f>
        <v>77136.074162334771</v>
      </c>
      <c r="N71" s="184">
        <f>'Sludge Disposal Cash Flow 2019'!C69</f>
        <v>0</v>
      </c>
      <c r="O71" s="185">
        <f>'Sludge Disposal Cash Flow 2019'!H69-'Sludge Disposal Cash Flow 2019'!C69</f>
        <v>57275.834658421532</v>
      </c>
      <c r="P71" s="184">
        <f>'Salt Disposal Cash Flow 2019'!C69</f>
        <v>0</v>
      </c>
      <c r="Q71" s="186">
        <f>'Salt Disposal Cash Flow 2019'!H69-'Salt Disposal Cash Flow 2019'!C69</f>
        <v>62681.12453542494</v>
      </c>
      <c r="R71" s="197"/>
      <c r="S71" s="199">
        <f t="shared" si="2"/>
        <v>0</v>
      </c>
      <c r="T71" s="200">
        <f t="shared" si="3"/>
        <v>0</v>
      </c>
      <c r="U71" s="191">
        <f t="shared" si="4"/>
        <v>1251815.1653074126</v>
      </c>
      <c r="V71" s="185">
        <f t="shared" si="8"/>
        <v>219067.6539287972</v>
      </c>
      <c r="W71" s="184">
        <f t="shared" si="5"/>
        <v>1454935.6149833307</v>
      </c>
      <c r="X71" s="194">
        <f t="shared" si="6"/>
        <v>254613.73262208287</v>
      </c>
      <c r="Y71" s="193">
        <f t="shared" si="7"/>
        <v>3180432.1668416234</v>
      </c>
    </row>
    <row r="72" spans="1:25" ht="13" x14ac:dyDescent="0.3">
      <c r="A72" s="182">
        <v>61</v>
      </c>
      <c r="B72" s="209">
        <f>'Short Term ETS Cash Flow 2019'!C71</f>
        <v>0</v>
      </c>
      <c r="C72" s="178">
        <f>'Short Term ETS Cash Flow 2019'!H71</f>
        <v>0</v>
      </c>
      <c r="D72" s="181">
        <f>SUM('Short Term ETS Cash Flow 2019'!D71:F71)</f>
        <v>0</v>
      </c>
      <c r="E72" s="180">
        <f>'Long Term ETS Cash Flow 2019'!C71</f>
        <v>0</v>
      </c>
      <c r="F72" s="178">
        <f>SUM('Long Term ETS Cash Flow 2019'!M71)</f>
        <v>58145.497505344458</v>
      </c>
      <c r="G72" s="181">
        <f>SUM('Long Term ETS Cash Flow 2019'!D71:J71)</f>
        <v>69794.771619511885</v>
      </c>
      <c r="H72" s="184">
        <f>'TTS Cash Flow'!B71</f>
        <v>0</v>
      </c>
      <c r="I72" s="114">
        <f>SUM('TTS Cash Flow'!F71:K71)</f>
        <v>1115694.2858586346</v>
      </c>
      <c r="J72" s="114">
        <f>SUM('TTS Cash Flow'!C71:E71)</f>
        <v>1188047.8100076378</v>
      </c>
      <c r="K72" s="184">
        <f>'Water Conveyance Cash Flow 2019'!C70</f>
        <v>0</v>
      </c>
      <c r="L72" s="114">
        <f>SUM('Water Conveyance Cash Flow 2019'!J70)</f>
        <v>75120.866709068505</v>
      </c>
      <c r="M72" s="185">
        <f>SUM('Water Conveyance Cash Flow 2019'!D70:H70)</f>
        <v>77136.074162334771</v>
      </c>
      <c r="N72" s="184">
        <f>'Sludge Disposal Cash Flow 2019'!C70</f>
        <v>0</v>
      </c>
      <c r="O72" s="185">
        <f>'Sludge Disposal Cash Flow 2019'!H70-'Sludge Disposal Cash Flow 2019'!C70</f>
        <v>57123.748441262724</v>
      </c>
      <c r="P72" s="184">
        <f>'Salt Disposal Cash Flow 2019'!C70</f>
        <v>0</v>
      </c>
      <c r="Q72" s="186">
        <f>'Salt Disposal Cash Flow 2019'!H70-'Salt Disposal Cash Flow 2019'!C70</f>
        <v>62618.912599550393</v>
      </c>
      <c r="R72" s="197"/>
      <c r="S72" s="199">
        <f t="shared" si="2"/>
        <v>0</v>
      </c>
      <c r="T72" s="200">
        <f t="shared" si="3"/>
        <v>0</v>
      </c>
      <c r="U72" s="191">
        <f t="shared" si="4"/>
        <v>1248960.6500730475</v>
      </c>
      <c r="V72" s="185">
        <f t="shared" si="8"/>
        <v>218568.11376278329</v>
      </c>
      <c r="W72" s="184">
        <f t="shared" si="5"/>
        <v>1454721.3168302972</v>
      </c>
      <c r="X72" s="194">
        <f t="shared" si="6"/>
        <v>254576.230445302</v>
      </c>
      <c r="Y72" s="193">
        <f t="shared" si="7"/>
        <v>3176826.3111114302</v>
      </c>
    </row>
    <row r="73" spans="1:25" ht="13" x14ac:dyDescent="0.3">
      <c r="A73" s="182">
        <v>62</v>
      </c>
      <c r="B73" s="209">
        <f>'Short Term ETS Cash Flow 2019'!C72</f>
        <v>0</v>
      </c>
      <c r="C73" s="178">
        <f>'Short Term ETS Cash Flow 2019'!H72</f>
        <v>0</v>
      </c>
      <c r="D73" s="181">
        <f>SUM('Short Term ETS Cash Flow 2019'!D72:F72)</f>
        <v>0</v>
      </c>
      <c r="E73" s="180">
        <f>'Long Term ETS Cash Flow 2019'!C72</f>
        <v>0</v>
      </c>
      <c r="F73" s="178">
        <f>SUM('Long Term ETS Cash Flow 2019'!M72)</f>
        <v>58145.497505344458</v>
      </c>
      <c r="G73" s="181">
        <f>SUM('Long Term ETS Cash Flow 2019'!D72:J72)</f>
        <v>69794.771619511885</v>
      </c>
      <c r="H73" s="184">
        <f>'TTS Cash Flow'!B72</f>
        <v>0</v>
      </c>
      <c r="I73" s="114">
        <f>SUM('TTS Cash Flow'!F72:K72)</f>
        <v>1113020.096579649</v>
      </c>
      <c r="J73" s="114">
        <f>SUM('TTS Cash Flow'!C72:E72)</f>
        <v>1188047.8100076378</v>
      </c>
      <c r="K73" s="184">
        <f>'Water Conveyance Cash Flow 2019'!C71</f>
        <v>0</v>
      </c>
      <c r="L73" s="114">
        <f>SUM('Water Conveyance Cash Flow 2019'!J71)</f>
        <v>75011.416520643717</v>
      </c>
      <c r="M73" s="185">
        <f>SUM('Water Conveyance Cash Flow 2019'!D71:H71)</f>
        <v>77136.074162334771</v>
      </c>
      <c r="N73" s="184">
        <f>'Sludge Disposal Cash Flow 2019'!C71</f>
        <v>0</v>
      </c>
      <c r="O73" s="185">
        <f>'Sludge Disposal Cash Flow 2019'!H71-'Sludge Disposal Cash Flow 2019'!C71</f>
        <v>56975.39891275909</v>
      </c>
      <c r="P73" s="184">
        <f>'Salt Disposal Cash Flow 2019'!C71</f>
        <v>0</v>
      </c>
      <c r="Q73" s="186">
        <f>'Salt Disposal Cash Flow 2019'!H71-'Salt Disposal Cash Flow 2019'!C71</f>
        <v>62558.256803292199</v>
      </c>
      <c r="R73" s="197"/>
      <c r="S73" s="199">
        <f t="shared" si="2"/>
        <v>0</v>
      </c>
      <c r="T73" s="200">
        <f t="shared" si="3"/>
        <v>0</v>
      </c>
      <c r="U73" s="191">
        <f t="shared" si="4"/>
        <v>1246177.0106056372</v>
      </c>
      <c r="V73" s="185">
        <f t="shared" si="8"/>
        <v>218080.97685598649</v>
      </c>
      <c r="W73" s="184">
        <f t="shared" si="5"/>
        <v>1454512.3115055356</v>
      </c>
      <c r="X73" s="194">
        <f t="shared" si="6"/>
        <v>254539.6545134687</v>
      </c>
      <c r="Y73" s="193">
        <f t="shared" si="7"/>
        <v>3173309.9534806279</v>
      </c>
    </row>
    <row r="74" spans="1:25" ht="13" x14ac:dyDescent="0.3">
      <c r="A74" s="182">
        <v>63</v>
      </c>
      <c r="B74" s="209">
        <f>'Short Term ETS Cash Flow 2019'!C73</f>
        <v>0</v>
      </c>
      <c r="C74" s="178">
        <f>'Short Term ETS Cash Flow 2019'!H73</f>
        <v>0</v>
      </c>
      <c r="D74" s="181">
        <f>SUM('Short Term ETS Cash Flow 2019'!D73:F73)</f>
        <v>0</v>
      </c>
      <c r="E74" s="180">
        <f>'Long Term ETS Cash Flow 2019'!C73</f>
        <v>0</v>
      </c>
      <c r="F74" s="178">
        <f>SUM('Long Term ETS Cash Flow 2019'!M73)</f>
        <v>58145.497505344458</v>
      </c>
      <c r="G74" s="181">
        <f>SUM('Long Term ETS Cash Flow 2019'!D73:J73)</f>
        <v>69794.771619511885</v>
      </c>
      <c r="H74" s="184">
        <f>'TTS Cash Flow'!B73</f>
        <v>0</v>
      </c>
      <c r="I74" s="114">
        <f>SUM('TTS Cash Flow'!F73:K73)</f>
        <v>1110407.7035271642</v>
      </c>
      <c r="J74" s="114">
        <f>SUM('TTS Cash Flow'!C73:E73)</f>
        <v>1188047.8100076378</v>
      </c>
      <c r="K74" s="184">
        <f>'Water Conveyance Cash Flow 2019'!C72</f>
        <v>0</v>
      </c>
      <c r="L74" s="114">
        <f>SUM('Water Conveyance Cash Flow 2019'!J72)</f>
        <v>74904.534856177022</v>
      </c>
      <c r="M74" s="185">
        <f>SUM('Water Conveyance Cash Flow 2019'!D72:H72)</f>
        <v>77136.074162334771</v>
      </c>
      <c r="N74" s="184">
        <f>'Sludge Disposal Cash Flow 2019'!C72</f>
        <v>0</v>
      </c>
      <c r="O74" s="185">
        <f>'Sludge Disposal Cash Flow 2019'!H72-'Sludge Disposal Cash Flow 2019'!C72</f>
        <v>56830.463156356622</v>
      </c>
      <c r="P74" s="184">
        <f>'Salt Disposal Cash Flow 2019'!C72</f>
        <v>0</v>
      </c>
      <c r="Q74" s="186">
        <f>'Salt Disposal Cash Flow 2019'!H72-'Salt Disposal Cash Flow 2019'!C72</f>
        <v>62499.019269496515</v>
      </c>
      <c r="R74" s="197"/>
      <c r="S74" s="199">
        <f t="shared" si="2"/>
        <v>0</v>
      </c>
      <c r="T74" s="200">
        <f t="shared" si="3"/>
        <v>0</v>
      </c>
      <c r="U74" s="191">
        <f t="shared" si="4"/>
        <v>1243457.7358886856</v>
      </c>
      <c r="V74" s="185">
        <f t="shared" si="8"/>
        <v>217605.10378051997</v>
      </c>
      <c r="W74" s="184">
        <f t="shared" si="5"/>
        <v>1454308.1382153374</v>
      </c>
      <c r="X74" s="194">
        <f t="shared" si="6"/>
        <v>254503.92418768402</v>
      </c>
      <c r="Y74" s="193">
        <f t="shared" si="7"/>
        <v>3169874.9020722271</v>
      </c>
    </row>
    <row r="75" spans="1:25" ht="13" x14ac:dyDescent="0.3">
      <c r="A75" s="182">
        <v>64</v>
      </c>
      <c r="B75" s="209">
        <f>'Short Term ETS Cash Flow 2019'!C74</f>
        <v>0</v>
      </c>
      <c r="C75" s="178">
        <f>'Short Term ETS Cash Flow 2019'!H74</f>
        <v>0</v>
      </c>
      <c r="D75" s="181">
        <f>SUM('Short Term ETS Cash Flow 2019'!D74:F74)</f>
        <v>0</v>
      </c>
      <c r="E75" s="180">
        <f>'Long Term ETS Cash Flow 2019'!C74</f>
        <v>0</v>
      </c>
      <c r="F75" s="178">
        <f>SUM('Long Term ETS Cash Flow 2019'!M74)</f>
        <v>58145.497505344458</v>
      </c>
      <c r="G75" s="181">
        <f>SUM('Long Term ETS Cash Flow 2019'!D74:J74)</f>
        <v>69794.771619511885</v>
      </c>
      <c r="H75" s="184">
        <f>'TTS Cash Flow'!B74</f>
        <v>0</v>
      </c>
      <c r="I75" s="114">
        <f>SUM('TTS Cash Flow'!F74:K74)</f>
        <v>1107850.4365591991</v>
      </c>
      <c r="J75" s="114">
        <f>SUM('TTS Cash Flow'!C74:E74)</f>
        <v>1188047.8100076378</v>
      </c>
      <c r="K75" s="184">
        <f>'Water Conveyance Cash Flow 2019'!C73</f>
        <v>0</v>
      </c>
      <c r="L75" s="114">
        <f>SUM('Water Conveyance Cash Flow 2019'!J73)</f>
        <v>74799.792418505516</v>
      </c>
      <c r="M75" s="185">
        <f>SUM('Water Conveyance Cash Flow 2019'!D73:H73)</f>
        <v>77136.074162334771</v>
      </c>
      <c r="N75" s="184">
        <f>'Sludge Disposal Cash Flow 2019'!C73</f>
        <v>0</v>
      </c>
      <c r="O75" s="185">
        <f>'Sludge Disposal Cash Flow 2019'!H73-'Sludge Disposal Cash Flow 2019'!C73</f>
        <v>56688.54583553494</v>
      </c>
      <c r="P75" s="184">
        <f>'Salt Disposal Cash Flow 2019'!C73</f>
        <v>0</v>
      </c>
      <c r="Q75" s="186">
        <f>'Salt Disposal Cash Flow 2019'!H73-'Salt Disposal Cash Flow 2019'!C73</f>
        <v>62441.117571671995</v>
      </c>
      <c r="R75" s="197"/>
      <c r="S75" s="199">
        <f t="shared" si="2"/>
        <v>0</v>
      </c>
      <c r="T75" s="200">
        <f t="shared" si="3"/>
        <v>0</v>
      </c>
      <c r="U75" s="191">
        <f t="shared" si="4"/>
        <v>1240795.7264830491</v>
      </c>
      <c r="V75" s="185">
        <f t="shared" si="8"/>
        <v>217139.25213453357</v>
      </c>
      <c r="W75" s="184">
        <f t="shared" si="5"/>
        <v>1454108.3191966913</v>
      </c>
      <c r="X75" s="194">
        <f t="shared" si="6"/>
        <v>254468.95585942097</v>
      </c>
      <c r="Y75" s="193">
        <f t="shared" si="7"/>
        <v>3166512.253673695</v>
      </c>
    </row>
    <row r="76" spans="1:25" ht="13" x14ac:dyDescent="0.3">
      <c r="A76" s="182">
        <v>65</v>
      </c>
      <c r="B76" s="209">
        <f>'Short Term ETS Cash Flow 2019'!C75</f>
        <v>0</v>
      </c>
      <c r="C76" s="178">
        <f>'Short Term ETS Cash Flow 2019'!H75</f>
        <v>0</v>
      </c>
      <c r="D76" s="181">
        <f>SUM('Short Term ETS Cash Flow 2019'!D75:F75)</f>
        <v>0</v>
      </c>
      <c r="E76" s="180">
        <f>'Long Term ETS Cash Flow 2019'!C75</f>
        <v>0</v>
      </c>
      <c r="F76" s="178">
        <f>SUM('Long Term ETS Cash Flow 2019'!M75)</f>
        <v>58145.497505344458</v>
      </c>
      <c r="G76" s="181">
        <f>SUM('Long Term ETS Cash Flow 2019'!D75:J75)</f>
        <v>69794.771619511885</v>
      </c>
      <c r="H76" s="184">
        <f>'TTS Cash Flow'!B75</f>
        <v>0</v>
      </c>
      <c r="I76" s="114">
        <f>SUM('TTS Cash Flow'!F75:K75)</f>
        <v>1105355.9665616539</v>
      </c>
      <c r="J76" s="114">
        <f>SUM('TTS Cash Flow'!C75:E75)</f>
        <v>1188047.8100076378</v>
      </c>
      <c r="K76" s="184">
        <f>'Water Conveyance Cash Flow 2019'!C74</f>
        <v>0</v>
      </c>
      <c r="L76" s="114">
        <f>SUM('Water Conveyance Cash Flow 2019'!J74)</f>
        <v>74697.861037680806</v>
      </c>
      <c r="M76" s="185">
        <f>SUM('Water Conveyance Cash Flow 2019'!D74:H74)</f>
        <v>77136.074162334771</v>
      </c>
      <c r="N76" s="184">
        <f>'Sludge Disposal Cash Flow 2019'!C74</f>
        <v>0</v>
      </c>
      <c r="O76" s="185">
        <f>'Sludge Disposal Cash Flow 2019'!H74-'Sludge Disposal Cash Flow 2019'!C74</f>
        <v>56550.106312399497</v>
      </c>
      <c r="P76" s="184">
        <f>'Salt Disposal Cash Flow 2019'!C74</f>
        <v>0</v>
      </c>
      <c r="Q76" s="186">
        <f>'Salt Disposal Cash Flow 2019'!H74-'Salt Disposal Cash Flow 2019'!C74</f>
        <v>62384.632928697945</v>
      </c>
      <c r="R76" s="197"/>
      <c r="S76" s="199">
        <f t="shared" ref="S76:S111" si="9">SUM(B76,E76,H76,K76,N76,P76)</f>
        <v>0</v>
      </c>
      <c r="T76" s="200">
        <f t="shared" ref="T76:T110" si="10">S76*$V$4</f>
        <v>0</v>
      </c>
      <c r="U76" s="191">
        <f t="shared" ref="U76:U110" si="11">SUM(C76,F76,I76,L76)</f>
        <v>1238199.3251046792</v>
      </c>
      <c r="V76" s="185">
        <f t="shared" ref="V76:V110" si="12">U76*$V$5</f>
        <v>216684.88189331884</v>
      </c>
      <c r="W76" s="184">
        <f t="shared" ref="W76:W111" si="13">SUM(D76,G76,J76,M76,O76,Q76)</f>
        <v>1453913.3950305816</v>
      </c>
      <c r="X76" s="194">
        <f t="shared" ref="X76:X110" si="14">W76*$V$6</f>
        <v>254434.84413035176</v>
      </c>
      <c r="Y76" s="193">
        <f t="shared" ref="Y76:Y111" si="15">SUM(S76:X76)</f>
        <v>3163232.4461589311</v>
      </c>
    </row>
    <row r="77" spans="1:25" ht="13" x14ac:dyDescent="0.3">
      <c r="A77" s="182">
        <v>66</v>
      </c>
      <c r="B77" s="209">
        <f>'Short Term ETS Cash Flow 2019'!C76</f>
        <v>0</v>
      </c>
      <c r="C77" s="178">
        <f>'Short Term ETS Cash Flow 2019'!H76</f>
        <v>0</v>
      </c>
      <c r="D77" s="181">
        <f>SUM('Short Term ETS Cash Flow 2019'!D76:F76)</f>
        <v>0</v>
      </c>
      <c r="E77" s="180">
        <f>'Long Term ETS Cash Flow 2019'!C76</f>
        <v>0</v>
      </c>
      <c r="F77" s="178">
        <f>SUM('Long Term ETS Cash Flow 2019'!M76)</f>
        <v>58145.497505344458</v>
      </c>
      <c r="G77" s="181">
        <f>SUM('Long Term ETS Cash Flow 2019'!D76:J76)</f>
        <v>69794.771619511885</v>
      </c>
      <c r="H77" s="184">
        <f>'TTS Cash Flow'!B76</f>
        <v>0</v>
      </c>
      <c r="I77" s="114">
        <f>SUM('TTS Cash Flow'!F76:K76)</f>
        <v>1102918.6713466546</v>
      </c>
      <c r="J77" s="114">
        <f>SUM('TTS Cash Flow'!C76:E76)</f>
        <v>1188047.8100076378</v>
      </c>
      <c r="K77" s="184">
        <f>'Water Conveyance Cash Flow 2019'!C75</f>
        <v>0</v>
      </c>
      <c r="L77" s="114">
        <f>SUM('Water Conveyance Cash Flow 2019'!J75)</f>
        <v>74598.306180588421</v>
      </c>
      <c r="M77" s="185">
        <f>SUM('Water Conveyance Cash Flow 2019'!D75:H75)</f>
        <v>77136.074162334771</v>
      </c>
      <c r="N77" s="184">
        <f>'Sludge Disposal Cash Flow 2019'!C75</f>
        <v>0</v>
      </c>
      <c r="O77" s="185">
        <f>'Sludge Disposal Cash Flow 2019'!H75-'Sludge Disposal Cash Flow 2019'!C75</f>
        <v>56414.805045767222</v>
      </c>
      <c r="P77" s="184">
        <f>'Salt Disposal Cash Flow 2019'!C75</f>
        <v>0</v>
      </c>
      <c r="Q77" s="186">
        <f>'Salt Disposal Cash Flow 2019'!H75-'Salt Disposal Cash Flow 2019'!C75</f>
        <v>62329.497583214783</v>
      </c>
      <c r="R77" s="197"/>
      <c r="S77" s="199">
        <f t="shared" si="9"/>
        <v>0</v>
      </c>
      <c r="T77" s="200">
        <f t="shared" si="10"/>
        <v>0</v>
      </c>
      <c r="U77" s="191">
        <f t="shared" si="11"/>
        <v>1235662.4750325875</v>
      </c>
      <c r="V77" s="185">
        <f t="shared" si="12"/>
        <v>216240.93313070282</v>
      </c>
      <c r="W77" s="184">
        <f t="shared" si="13"/>
        <v>1453722.9584184664</v>
      </c>
      <c r="X77" s="194">
        <f t="shared" si="14"/>
        <v>254401.51772323161</v>
      </c>
      <c r="Y77" s="193">
        <f t="shared" si="15"/>
        <v>3160027.8843049882</v>
      </c>
    </row>
    <row r="78" spans="1:25" ht="13" x14ac:dyDescent="0.3">
      <c r="A78" s="182">
        <v>67</v>
      </c>
      <c r="B78" s="209">
        <f>'Short Term ETS Cash Flow 2019'!C77</f>
        <v>0</v>
      </c>
      <c r="C78" s="178">
        <f>'Short Term ETS Cash Flow 2019'!H77</f>
        <v>0</v>
      </c>
      <c r="D78" s="181">
        <f>SUM('Short Term ETS Cash Flow 2019'!D77:F77)</f>
        <v>0</v>
      </c>
      <c r="E78" s="180">
        <f>'Long Term ETS Cash Flow 2019'!C77</f>
        <v>0</v>
      </c>
      <c r="F78" s="178">
        <f>SUM('Long Term ETS Cash Flow 2019'!M77)</f>
        <v>57257.089378843928</v>
      </c>
      <c r="G78" s="181">
        <f>SUM('Long Term ETS Cash Flow 2019'!D77:J77)</f>
        <v>69794.771619511885</v>
      </c>
      <c r="H78" s="184">
        <f>'TTS Cash Flow'!B77</f>
        <v>0</v>
      </c>
      <c r="I78" s="114">
        <f>SUM('TTS Cash Flow'!F77:K77)</f>
        <v>1100531.5394411585</v>
      </c>
      <c r="J78" s="114">
        <f>SUM('TTS Cash Flow'!C77:E77)</f>
        <v>1188047.8100076378</v>
      </c>
      <c r="K78" s="184">
        <f>'Water Conveyance Cash Flow 2019'!C76</f>
        <v>0</v>
      </c>
      <c r="L78" s="114">
        <f>SUM('Water Conveyance Cash Flow 2019'!J76)</f>
        <v>74500.904547392696</v>
      </c>
      <c r="M78" s="185">
        <f>SUM('Water Conveyance Cash Flow 2019'!D76:H76)</f>
        <v>77136.074162334771</v>
      </c>
      <c r="N78" s="184">
        <f>'Sludge Disposal Cash Flow 2019'!C76</f>
        <v>0</v>
      </c>
      <c r="O78" s="185">
        <f>'Sludge Disposal Cash Flow 2019'!H76-'Sludge Disposal Cash Flow 2019'!C76</f>
        <v>56282.280094530608</v>
      </c>
      <c r="P78" s="184">
        <f>'Salt Disposal Cash Flow 2019'!C76</f>
        <v>0</v>
      </c>
      <c r="Q78" s="186">
        <f>'Salt Disposal Cash Flow 2019'!H76-'Salt Disposal Cash Flow 2019'!C76</f>
        <v>62275.521815615772</v>
      </c>
      <c r="R78" s="197"/>
      <c r="S78" s="199">
        <f t="shared" si="9"/>
        <v>0</v>
      </c>
      <c r="T78" s="200">
        <f t="shared" si="10"/>
        <v>0</v>
      </c>
      <c r="U78" s="191">
        <f t="shared" si="11"/>
        <v>1232289.5333673952</v>
      </c>
      <c r="V78" s="185">
        <f t="shared" si="12"/>
        <v>215650.66833929415</v>
      </c>
      <c r="W78" s="184">
        <f t="shared" si="13"/>
        <v>1453536.4576996306</v>
      </c>
      <c r="X78" s="194">
        <f t="shared" si="14"/>
        <v>254368.88009743535</v>
      </c>
      <c r="Y78" s="193">
        <f t="shared" si="15"/>
        <v>3155845.5395037555</v>
      </c>
    </row>
    <row r="79" spans="1:25" ht="13" x14ac:dyDescent="0.3">
      <c r="A79" s="182">
        <v>68</v>
      </c>
      <c r="B79" s="209">
        <f>'Short Term ETS Cash Flow 2019'!C78</f>
        <v>0</v>
      </c>
      <c r="C79" s="178">
        <f>'Short Term ETS Cash Flow 2019'!H78</f>
        <v>0</v>
      </c>
      <c r="D79" s="181">
        <f>SUM('Short Term ETS Cash Flow 2019'!D78:F78)</f>
        <v>0</v>
      </c>
      <c r="E79" s="180">
        <f>'Long Term ETS Cash Flow 2019'!C78</f>
        <v>0</v>
      </c>
      <c r="F79" s="178">
        <f>SUM('Long Term ETS Cash Flow 2019'!M78)</f>
        <v>57257.089378843928</v>
      </c>
      <c r="G79" s="181">
        <f>SUM('Long Term ETS Cash Flow 2019'!D78:J78)</f>
        <v>69794.771619511885</v>
      </c>
      <c r="H79" s="184">
        <f>'TTS Cash Flow'!B78</f>
        <v>0</v>
      </c>
      <c r="I79" s="114">
        <f>SUM('TTS Cash Flow'!F78:K78)</f>
        <v>1098190.3248002087</v>
      </c>
      <c r="J79" s="114">
        <f>SUM('TTS Cash Flow'!C78:E78)</f>
        <v>1188047.8100076378</v>
      </c>
      <c r="K79" s="184">
        <f>'Water Conveyance Cash Flow 2019'!C77</f>
        <v>0</v>
      </c>
      <c r="L79" s="114">
        <f>SUM('Water Conveyance Cash Flow 2019'!J77)</f>
        <v>74405.392436611612</v>
      </c>
      <c r="M79" s="185">
        <f>SUM('Water Conveyance Cash Flow 2019'!D77:H77)</f>
        <v>77136.074162334771</v>
      </c>
      <c r="N79" s="184">
        <f>'Sludge Disposal Cash Flow 2019'!C77</f>
        <v>0</v>
      </c>
      <c r="O79" s="185">
        <f>'Sludge Disposal Cash Flow 2019'!H77-'Sludge Disposal Cash Flow 2019'!C77</f>
        <v>56152.273433796203</v>
      </c>
      <c r="P79" s="184">
        <f>'Salt Disposal Cash Flow 2019'!C77</f>
        <v>0</v>
      </c>
      <c r="Q79" s="186">
        <f>'Salt Disposal Cash Flow 2019'!H77-'Salt Disposal Cash Flow 2019'!C77</f>
        <v>62222.620356000814</v>
      </c>
      <c r="R79" s="197"/>
      <c r="S79" s="199">
        <f t="shared" si="9"/>
        <v>0</v>
      </c>
      <c r="T79" s="200">
        <f t="shared" si="10"/>
        <v>0</v>
      </c>
      <c r="U79" s="191">
        <f t="shared" si="11"/>
        <v>1229852.8066156644</v>
      </c>
      <c r="V79" s="185">
        <f t="shared" si="12"/>
        <v>215224.24115774126</v>
      </c>
      <c r="W79" s="184">
        <f t="shared" si="13"/>
        <v>1453353.5495792811</v>
      </c>
      <c r="X79" s="194">
        <f t="shared" si="14"/>
        <v>254336.87117637417</v>
      </c>
      <c r="Y79" s="193">
        <f t="shared" si="15"/>
        <v>3152767.4685290609</v>
      </c>
    </row>
    <row r="80" spans="1:25" ht="13.5" thickBot="1" x14ac:dyDescent="0.35">
      <c r="A80" s="576">
        <v>69</v>
      </c>
      <c r="B80" s="577">
        <f>'Short Term ETS Cash Flow 2019'!C79</f>
        <v>0</v>
      </c>
      <c r="C80" s="578">
        <f>'Short Term ETS Cash Flow 2019'!H79</f>
        <v>0</v>
      </c>
      <c r="D80" s="579">
        <f>SUM('Short Term ETS Cash Flow 2019'!D79:F79)</f>
        <v>0</v>
      </c>
      <c r="E80" s="580">
        <f>'Long Term ETS Cash Flow 2019'!C79</f>
        <v>0</v>
      </c>
      <c r="F80" s="578">
        <f>SUM('Long Term ETS Cash Flow 2019'!M79)</f>
        <v>57257.089378843928</v>
      </c>
      <c r="G80" s="579">
        <f>SUM('Long Term ETS Cash Flow 2019'!D79:J79)</f>
        <v>69794.771619511885</v>
      </c>
      <c r="H80" s="581">
        <f>'TTS Cash Flow'!B79</f>
        <v>0</v>
      </c>
      <c r="I80" s="582">
        <f>SUM('TTS Cash Flow'!F79:K79)</f>
        <v>1095905.1687435659</v>
      </c>
      <c r="J80" s="582">
        <f>SUM('TTS Cash Flow'!C79:E79)</f>
        <v>1188047.8100076378</v>
      </c>
      <c r="K80" s="581">
        <f>'Water Conveyance Cash Flow 2019'!C78</f>
        <v>0</v>
      </c>
      <c r="L80" s="582">
        <f>SUM('Water Conveyance Cash Flow 2019'!J78)</f>
        <v>74312.250992756526</v>
      </c>
      <c r="M80" s="583">
        <f>SUM('Water Conveyance Cash Flow 2019'!D78:H78)</f>
        <v>77136.074162334771</v>
      </c>
      <c r="N80" s="581">
        <f>'Sludge Disposal Cash Flow 2019'!C78</f>
        <v>0</v>
      </c>
      <c r="O80" s="583">
        <f>'Sludge Disposal Cash Flow 2019'!H78-'Sludge Disposal Cash Flow 2019'!C78</f>
        <v>56025.364220752264</v>
      </c>
      <c r="P80" s="581">
        <f>'Salt Disposal Cash Flow 2019'!C78</f>
        <v>0</v>
      </c>
      <c r="Q80" s="584">
        <f>'Salt Disposal Cash Flow 2019'!H78-'Salt Disposal Cash Flow 2019'!C78</f>
        <v>62171.020411982056</v>
      </c>
      <c r="R80" s="585"/>
      <c r="S80" s="586">
        <f t="shared" si="9"/>
        <v>0</v>
      </c>
      <c r="T80" s="587">
        <f t="shared" si="10"/>
        <v>0</v>
      </c>
      <c r="U80" s="588">
        <f t="shared" si="11"/>
        <v>1227474.5091151665</v>
      </c>
      <c r="V80" s="583">
        <f t="shared" si="12"/>
        <v>214808.03909515412</v>
      </c>
      <c r="W80" s="581">
        <f t="shared" si="13"/>
        <v>1453175.0404222186</v>
      </c>
      <c r="X80" s="589">
        <f t="shared" si="14"/>
        <v>254305.63207388824</v>
      </c>
      <c r="Y80" s="590">
        <f t="shared" si="15"/>
        <v>3149763.220706427</v>
      </c>
    </row>
    <row r="81" spans="1:25" ht="13" x14ac:dyDescent="0.3">
      <c r="A81" s="591">
        <v>70</v>
      </c>
      <c r="B81" s="592">
        <f>'Short Term ETS Cash Flow 2019'!C80</f>
        <v>0</v>
      </c>
      <c r="C81" s="593">
        <f>'Short Term ETS Cash Flow 2019'!H80</f>
        <v>0</v>
      </c>
      <c r="D81" s="594">
        <f>SUM('Short Term ETS Cash Flow 2019'!D80:F80)</f>
        <v>0</v>
      </c>
      <c r="E81" s="595">
        <f>'Long Term ETS Cash Flow 2019'!C80</f>
        <v>0</v>
      </c>
      <c r="F81" s="593">
        <f>SUM('Long Term ETS Cash Flow 2019'!M80)</f>
        <v>57257.089378843928</v>
      </c>
      <c r="G81" s="594">
        <f>SUM('Long Term ETS Cash Flow 2019'!D80:J80)</f>
        <v>69794.771619511885</v>
      </c>
      <c r="H81" s="596">
        <f>'TTS Cash Flow'!B80</f>
        <v>0</v>
      </c>
      <c r="I81" s="597">
        <f>SUM('TTS Cash Flow'!F80:K80)</f>
        <v>1093668.7218546115</v>
      </c>
      <c r="J81" s="597">
        <f>SUM('TTS Cash Flow'!C80:E80)</f>
        <v>1188047.8100076378</v>
      </c>
      <c r="K81" s="596">
        <f>'Water Conveyance Cash Flow 2019'!C79</f>
        <v>0</v>
      </c>
      <c r="L81" s="597">
        <f>SUM('Water Conveyance Cash Flow 2019'!J79)</f>
        <v>74221.322891650649</v>
      </c>
      <c r="M81" s="598">
        <f>SUM('Water Conveyance Cash Flow 2019'!D79:H79)</f>
        <v>77136.074162334771</v>
      </c>
      <c r="N81" s="596">
        <f>'Sludge Disposal Cash Flow 2019'!C79</f>
        <v>0</v>
      </c>
      <c r="O81" s="598">
        <f>'Sludge Disposal Cash Flow 2019'!H79-'Sludge Disposal Cash Flow 2019'!C79</f>
        <v>55901.137411995747</v>
      </c>
      <c r="P81" s="596">
        <f>'Salt Disposal Cash Flow 2019'!C79</f>
        <v>0</v>
      </c>
      <c r="Q81" s="599">
        <f>'Salt Disposal Cash Flow 2019'!H79-'Salt Disposal Cash Flow 2019'!C79</f>
        <v>62120.54903722064</v>
      </c>
      <c r="R81" s="600"/>
      <c r="S81" s="601">
        <f t="shared" si="9"/>
        <v>0</v>
      </c>
      <c r="T81" s="602">
        <f t="shared" si="10"/>
        <v>0</v>
      </c>
      <c r="U81" s="603">
        <f t="shared" si="11"/>
        <v>1225147.1341251063</v>
      </c>
      <c r="V81" s="598">
        <f t="shared" si="12"/>
        <v>214400.74847189357</v>
      </c>
      <c r="W81" s="596">
        <f t="shared" si="13"/>
        <v>1453000.3422387007</v>
      </c>
      <c r="X81" s="604">
        <f t="shared" si="14"/>
        <v>254275.0598917726</v>
      </c>
      <c r="Y81" s="605">
        <f t="shared" si="15"/>
        <v>3146823.2847274728</v>
      </c>
    </row>
    <row r="82" spans="1:25" ht="13" x14ac:dyDescent="0.3">
      <c r="A82" s="182">
        <v>71</v>
      </c>
      <c r="B82" s="209">
        <f>'Short Term ETS Cash Flow 2019'!C81</f>
        <v>0</v>
      </c>
      <c r="C82" s="178">
        <f>'Short Term ETS Cash Flow 2019'!H81</f>
        <v>0</v>
      </c>
      <c r="D82" s="181">
        <f>SUM('Short Term ETS Cash Flow 2019'!D81:F81)</f>
        <v>0</v>
      </c>
      <c r="E82" s="180">
        <f>'Long Term ETS Cash Flow 2019'!C81</f>
        <v>0</v>
      </c>
      <c r="F82" s="178">
        <f>SUM('Long Term ETS Cash Flow 2019'!M81)</f>
        <v>57257.089378843928</v>
      </c>
      <c r="G82" s="181">
        <f>SUM('Long Term ETS Cash Flow 2019'!D81:J81)</f>
        <v>69794.771619511885</v>
      </c>
      <c r="H82" s="184">
        <f>'TTS Cash Flow'!B81</f>
        <v>0</v>
      </c>
      <c r="I82" s="114">
        <f>SUM('TTS Cash Flow'!F81:K81)</f>
        <v>1091481.446642448</v>
      </c>
      <c r="J82" s="114">
        <f>SUM('TTS Cash Flow'!C81:E81)</f>
        <v>1188047.8100076378</v>
      </c>
      <c r="K82" s="184">
        <f>'Water Conveyance Cash Flow 2019'!C80</f>
        <v>0</v>
      </c>
      <c r="L82" s="114">
        <f>SUM('Water Conveyance Cash Flow 2019'!J80)</f>
        <v>74132.366450494301</v>
      </c>
      <c r="M82" s="185">
        <f>SUM('Water Conveyance Cash Flow 2019'!D80:H80)</f>
        <v>77136.074162334771</v>
      </c>
      <c r="N82" s="184">
        <f>'Sludge Disposal Cash Flow 2019'!C80</f>
        <v>0</v>
      </c>
      <c r="O82" s="185">
        <f>'Sludge Disposal Cash Flow 2019'!H80-'Sludge Disposal Cash Flow 2019'!C80</f>
        <v>55779.612999258898</v>
      </c>
      <c r="P82" s="184">
        <f>'Salt Disposal Cash Flow 2019'!C80</f>
        <v>0</v>
      </c>
      <c r="Q82" s="186">
        <f>'Salt Disposal Cash Flow 2019'!H80-'Salt Disposal Cash Flow 2019'!C80</f>
        <v>62071.238237531252</v>
      </c>
      <c r="R82" s="197"/>
      <c r="S82" s="199">
        <f t="shared" si="9"/>
        <v>0</v>
      </c>
      <c r="T82" s="200">
        <f t="shared" si="10"/>
        <v>0</v>
      </c>
      <c r="U82" s="191">
        <f t="shared" si="11"/>
        <v>1222870.9024717864</v>
      </c>
      <c r="V82" s="185">
        <f t="shared" si="12"/>
        <v>214002.40793256261</v>
      </c>
      <c r="W82" s="184">
        <f t="shared" si="13"/>
        <v>1452829.5070262742</v>
      </c>
      <c r="X82" s="194">
        <f t="shared" si="14"/>
        <v>254245.16372959796</v>
      </c>
      <c r="Y82" s="193">
        <f t="shared" si="15"/>
        <v>3143947.9811602207</v>
      </c>
    </row>
    <row r="83" spans="1:25" ht="13" x14ac:dyDescent="0.3">
      <c r="A83" s="182">
        <v>72</v>
      </c>
      <c r="B83" s="209">
        <f>'Short Term ETS Cash Flow 2019'!C82</f>
        <v>0</v>
      </c>
      <c r="C83" s="178">
        <f>'Short Term ETS Cash Flow 2019'!H82</f>
        <v>0</v>
      </c>
      <c r="D83" s="181">
        <f>SUM('Short Term ETS Cash Flow 2019'!D82:F82)</f>
        <v>0</v>
      </c>
      <c r="E83" s="180">
        <f>'Long Term ETS Cash Flow 2019'!C82</f>
        <v>0</v>
      </c>
      <c r="F83" s="178">
        <f>SUM('Long Term ETS Cash Flow 2019'!M82)</f>
        <v>57257.089378843928</v>
      </c>
      <c r="G83" s="181">
        <f>SUM('Long Term ETS Cash Flow 2019'!D82:J82)</f>
        <v>69794.771619511885</v>
      </c>
      <c r="H83" s="184">
        <f>'TTS Cash Flow'!B82</f>
        <v>0</v>
      </c>
      <c r="I83" s="114">
        <f>SUM('TTS Cash Flow'!F82:K82)</f>
        <v>1089336.174161481</v>
      </c>
      <c r="J83" s="114">
        <f>SUM('TTS Cash Flow'!C82:E82)</f>
        <v>1188047.8100076378</v>
      </c>
      <c r="K83" s="184">
        <f>'Water Conveyance Cash Flow 2019'!C81</f>
        <v>0</v>
      </c>
      <c r="L83" s="114">
        <f>SUM('Water Conveyance Cash Flow 2019'!J81)</f>
        <v>74045.23875782844</v>
      </c>
      <c r="M83" s="185">
        <f>SUM('Water Conveyance Cash Flow 2019'!D81:H81)</f>
        <v>77136.074162334771</v>
      </c>
      <c r="N83" s="184">
        <f>'Sludge Disposal Cash Flow 2019'!C81</f>
        <v>0</v>
      </c>
      <c r="O83" s="185">
        <f>'Sludge Disposal Cash Flow 2019'!H81-'Sludge Disposal Cash Flow 2019'!C81</f>
        <v>55660.396666205139</v>
      </c>
      <c r="P83" s="184">
        <f>'Salt Disposal Cash Flow 2019'!C81</f>
        <v>0</v>
      </c>
      <c r="Q83" s="186">
        <f>'Salt Disposal Cash Flow 2019'!H81-'Salt Disposal Cash Flow 2019'!C81</f>
        <v>62022.895603464895</v>
      </c>
      <c r="R83" s="197"/>
      <c r="S83" s="199">
        <f t="shared" si="9"/>
        <v>0</v>
      </c>
      <c r="T83" s="200">
        <f t="shared" si="10"/>
        <v>0</v>
      </c>
      <c r="U83" s="191">
        <f t="shared" si="11"/>
        <v>1220638.5022981535</v>
      </c>
      <c r="V83" s="185">
        <f t="shared" si="12"/>
        <v>213611.73790217686</v>
      </c>
      <c r="W83" s="184">
        <f t="shared" si="13"/>
        <v>1452661.9480591542</v>
      </c>
      <c r="X83" s="194">
        <f t="shared" si="14"/>
        <v>254215.84091035198</v>
      </c>
      <c r="Y83" s="193">
        <f t="shared" si="15"/>
        <v>3141128.0291698361</v>
      </c>
    </row>
    <row r="84" spans="1:25" ht="13" x14ac:dyDescent="0.3">
      <c r="A84" s="182">
        <v>73</v>
      </c>
      <c r="B84" s="209">
        <f>'Short Term ETS Cash Flow 2019'!C83</f>
        <v>0</v>
      </c>
      <c r="C84" s="178">
        <f>'Short Term ETS Cash Flow 2019'!H83</f>
        <v>0</v>
      </c>
      <c r="D84" s="181">
        <f>SUM('Short Term ETS Cash Flow 2019'!D83:F83)</f>
        <v>0</v>
      </c>
      <c r="E84" s="180">
        <f>'Long Term ETS Cash Flow 2019'!C83</f>
        <v>0</v>
      </c>
      <c r="F84" s="178">
        <f>SUM('Long Term ETS Cash Flow 2019'!M83)</f>
        <v>57257.089378843928</v>
      </c>
      <c r="G84" s="181">
        <f>SUM('Long Term ETS Cash Flow 2019'!D83:J83)</f>
        <v>69794.771619511885</v>
      </c>
      <c r="H84" s="184">
        <f>'TTS Cash Flow'!B83</f>
        <v>0</v>
      </c>
      <c r="I84" s="114">
        <f>SUM('TTS Cash Flow'!F83:K83)</f>
        <v>1087243.6816229501</v>
      </c>
      <c r="J84" s="114">
        <f>SUM('TTS Cash Flow'!C83:E83)</f>
        <v>1188047.8100076378</v>
      </c>
      <c r="K84" s="184">
        <f>'Water Conveyance Cash Flow 2019'!C82</f>
        <v>0</v>
      </c>
      <c r="L84" s="114">
        <f>SUM('Water Conveyance Cash Flow 2019'!J82)</f>
        <v>73960.066841407213</v>
      </c>
      <c r="M84" s="185">
        <f>SUM('Water Conveyance Cash Flow 2019'!D82:H82)</f>
        <v>77136.074162334771</v>
      </c>
      <c r="N84" s="184">
        <f>'Sludge Disposal Cash Flow 2019'!C82</f>
        <v>0</v>
      </c>
      <c r="O84" s="185">
        <f>'Sludge Disposal Cash Flow 2019'!H82-'Sludge Disposal Cash Flow 2019'!C82</f>
        <v>55544.061013192651</v>
      </c>
      <c r="P84" s="184">
        <f>'Salt Disposal Cash Flow 2019'!C82</f>
        <v>0</v>
      </c>
      <c r="Q84" s="186">
        <f>'Salt Disposal Cash Flow 2019'!H82-'Salt Disposal Cash Flow 2019'!C82</f>
        <v>61975.840975184699</v>
      </c>
      <c r="R84" s="197"/>
      <c r="S84" s="199">
        <f t="shared" si="9"/>
        <v>0</v>
      </c>
      <c r="T84" s="200">
        <f t="shared" si="10"/>
        <v>0</v>
      </c>
      <c r="U84" s="191">
        <f t="shared" si="11"/>
        <v>1218460.8378432014</v>
      </c>
      <c r="V84" s="185">
        <f t="shared" si="12"/>
        <v>213230.64662256022</v>
      </c>
      <c r="W84" s="184">
        <f t="shared" si="13"/>
        <v>1452498.5577778616</v>
      </c>
      <c r="X84" s="194">
        <f t="shared" si="14"/>
        <v>254187.24761112576</v>
      </c>
      <c r="Y84" s="193">
        <f t="shared" si="15"/>
        <v>3138377.2898547491</v>
      </c>
    </row>
    <row r="85" spans="1:25" ht="13" x14ac:dyDescent="0.3">
      <c r="A85" s="182">
        <v>74</v>
      </c>
      <c r="B85" s="209">
        <f>'Short Term ETS Cash Flow 2019'!C84</f>
        <v>0</v>
      </c>
      <c r="C85" s="178">
        <f>'Short Term ETS Cash Flow 2019'!H84</f>
        <v>0</v>
      </c>
      <c r="D85" s="181">
        <f>SUM('Short Term ETS Cash Flow 2019'!D84:F84)</f>
        <v>0</v>
      </c>
      <c r="E85" s="180">
        <f>'Long Term ETS Cash Flow 2019'!C84</f>
        <v>0</v>
      </c>
      <c r="F85" s="178">
        <f>SUM('Long Term ETS Cash Flow 2019'!M84)</f>
        <v>57257.089378843928</v>
      </c>
      <c r="G85" s="181">
        <f>SUM('Long Term ETS Cash Flow 2019'!D84:J84)</f>
        <v>69794.771619511885</v>
      </c>
      <c r="H85" s="184">
        <f>'TTS Cash Flow'!B84</f>
        <v>0</v>
      </c>
      <c r="I85" s="114">
        <f>SUM('TTS Cash Flow'!F84:K84)</f>
        <v>1085339.4791913391</v>
      </c>
      <c r="J85" s="114">
        <f>SUM('TTS Cash Flow'!C84:E84)</f>
        <v>1188047.8100076378</v>
      </c>
      <c r="K85" s="184">
        <f>'Water Conveyance Cash Flow 2019'!C83</f>
        <v>0</v>
      </c>
      <c r="L85" s="114">
        <f>SUM('Water Conveyance Cash Flow 2019'!J83)</f>
        <v>73888.261220643501</v>
      </c>
      <c r="M85" s="185">
        <f>SUM('Water Conveyance Cash Flow 2019'!D83:H83)</f>
        <v>77136.074162334771</v>
      </c>
      <c r="N85" s="184">
        <f>'Sludge Disposal Cash Flow 2019'!C83</f>
        <v>0</v>
      </c>
      <c r="O85" s="185">
        <f>'Sludge Disposal Cash Flow 2019'!H83-'Sludge Disposal Cash Flow 2019'!C83</f>
        <v>55436.152188838343</v>
      </c>
      <c r="P85" s="184">
        <f>'Salt Disposal Cash Flow 2019'!C83</f>
        <v>0</v>
      </c>
      <c r="Q85" s="186">
        <f>'Salt Disposal Cash Flow 2019'!H83-'Salt Disposal Cash Flow 2019'!C83</f>
        <v>61936.238097408124</v>
      </c>
      <c r="R85" s="197"/>
      <c r="S85" s="199">
        <f t="shared" si="9"/>
        <v>0</v>
      </c>
      <c r="T85" s="200">
        <f t="shared" si="10"/>
        <v>0</v>
      </c>
      <c r="U85" s="191">
        <f t="shared" si="11"/>
        <v>1216484.8297908267</v>
      </c>
      <c r="V85" s="185">
        <f t="shared" si="12"/>
        <v>212884.84521339464</v>
      </c>
      <c r="W85" s="184">
        <f t="shared" si="13"/>
        <v>1452351.0460757308</v>
      </c>
      <c r="X85" s="194">
        <f t="shared" si="14"/>
        <v>254161.43306325289</v>
      </c>
      <c r="Y85" s="193">
        <f t="shared" si="15"/>
        <v>3135882.1541432049</v>
      </c>
    </row>
    <row r="86" spans="1:25" ht="13" x14ac:dyDescent="0.3">
      <c r="A86" s="182">
        <v>75</v>
      </c>
      <c r="B86" s="209">
        <f>'Short Term ETS Cash Flow 2019'!C85</f>
        <v>0</v>
      </c>
      <c r="C86" s="178">
        <f>'Short Term ETS Cash Flow 2019'!H85</f>
        <v>0</v>
      </c>
      <c r="D86" s="181">
        <f>SUM('Short Term ETS Cash Flow 2019'!D85:F85)</f>
        <v>0</v>
      </c>
      <c r="E86" s="180">
        <f>'Long Term ETS Cash Flow 2019'!C85</f>
        <v>0</v>
      </c>
      <c r="F86" s="178">
        <f>SUM('Long Term ETS Cash Flow 2019'!M85)</f>
        <v>57257.089378843928</v>
      </c>
      <c r="G86" s="181">
        <f>SUM('Long Term ETS Cash Flow 2019'!D85:J85)</f>
        <v>69794.771619511885</v>
      </c>
      <c r="H86" s="184">
        <f>'TTS Cash Flow'!B85</f>
        <v>0</v>
      </c>
      <c r="I86" s="114">
        <f>SUM('TTS Cash Flow'!F85:K85)</f>
        <v>1083477.7496150071</v>
      </c>
      <c r="J86" s="114">
        <f>SUM('TTS Cash Flow'!C85:E85)</f>
        <v>1188047.8100076378</v>
      </c>
      <c r="K86" s="184">
        <f>'Water Conveyance Cash Flow 2019'!C84</f>
        <v>0</v>
      </c>
      <c r="L86" s="114">
        <f>SUM('Water Conveyance Cash Flow 2019'!J84)</f>
        <v>73818.287080393784</v>
      </c>
      <c r="M86" s="185">
        <f>SUM('Water Conveyance Cash Flow 2019'!D84:H84)</f>
        <v>77136.074162334771</v>
      </c>
      <c r="N86" s="184">
        <f>'Sludge Disposal Cash Flow 2019'!C84</f>
        <v>0</v>
      </c>
      <c r="O86" s="185">
        <f>'Sludge Disposal Cash Flow 2019'!H84-'Sludge Disposal Cash Flow 2019'!C84</f>
        <v>55330.56089951098</v>
      </c>
      <c r="P86" s="184">
        <f>'Salt Disposal Cash Flow 2019'!C84</f>
        <v>0</v>
      </c>
      <c r="Q86" s="186">
        <f>'Salt Disposal Cash Flow 2019'!H84-'Salt Disposal Cash Flow 2019'!C84</f>
        <v>61897.629804554112</v>
      </c>
      <c r="R86" s="197"/>
      <c r="S86" s="199">
        <f t="shared" si="9"/>
        <v>0</v>
      </c>
      <c r="T86" s="200">
        <f t="shared" si="10"/>
        <v>0</v>
      </c>
      <c r="U86" s="191">
        <f t="shared" si="11"/>
        <v>1214553.126074245</v>
      </c>
      <c r="V86" s="185">
        <f t="shared" si="12"/>
        <v>212546.79706299285</v>
      </c>
      <c r="W86" s="184">
        <f t="shared" si="13"/>
        <v>1452206.8464935494</v>
      </c>
      <c r="X86" s="194">
        <f t="shared" si="14"/>
        <v>254136.19813637112</v>
      </c>
      <c r="Y86" s="193">
        <f t="shared" si="15"/>
        <v>3133442.9677671581</v>
      </c>
    </row>
    <row r="87" spans="1:25" ht="13" x14ac:dyDescent="0.3">
      <c r="A87" s="182">
        <v>76</v>
      </c>
      <c r="B87" s="209">
        <f>'Short Term ETS Cash Flow 2019'!C86</f>
        <v>0</v>
      </c>
      <c r="C87" s="178">
        <f>'Short Term ETS Cash Flow 2019'!H86</f>
        <v>0</v>
      </c>
      <c r="D87" s="181">
        <f>SUM('Short Term ETS Cash Flow 2019'!D86:F86)</f>
        <v>0</v>
      </c>
      <c r="E87" s="180">
        <f>'Long Term ETS Cash Flow 2019'!C86</f>
        <v>0</v>
      </c>
      <c r="F87" s="178">
        <f>SUM('Long Term ETS Cash Flow 2019'!M86)</f>
        <v>57257.089378843928</v>
      </c>
      <c r="G87" s="181">
        <f>SUM('Long Term ETS Cash Flow 2019'!D86:J86)</f>
        <v>69794.771619511885</v>
      </c>
      <c r="H87" s="184">
        <f>'TTS Cash Flow'!B86</f>
        <v>0</v>
      </c>
      <c r="I87" s="114">
        <f>SUM('TTS Cash Flow'!F86:K86)</f>
        <v>1081642.643625763</v>
      </c>
      <c r="J87" s="114">
        <f>SUM('TTS Cash Flow'!C86:E86)</f>
        <v>1188047.8100076378</v>
      </c>
      <c r="K87" s="184">
        <f>'Water Conveyance Cash Flow 2019'!C85</f>
        <v>0</v>
      </c>
      <c r="L87" s="114">
        <f>SUM('Water Conveyance Cash Flow 2019'!J85)</f>
        <v>73749.511116430644</v>
      </c>
      <c r="M87" s="185">
        <f>SUM('Water Conveyance Cash Flow 2019'!D85:H85)</f>
        <v>77136.074162334771</v>
      </c>
      <c r="N87" s="184">
        <f>'Sludge Disposal Cash Flow 2019'!C85</f>
        <v>0</v>
      </c>
      <c r="O87" s="185">
        <f>'Sludge Disposal Cash Flow 2019'!H85-'Sludge Disposal Cash Flow 2019'!C85</f>
        <v>55226.444130346674</v>
      </c>
      <c r="P87" s="184">
        <f>'Salt Disposal Cash Flow 2019'!C85</f>
        <v>0</v>
      </c>
      <c r="Q87" s="186">
        <f>'Salt Disposal Cash Flow 2019'!H85-'Salt Disposal Cash Flow 2019'!C85</f>
        <v>61859.630922276323</v>
      </c>
      <c r="R87" s="197"/>
      <c r="S87" s="199">
        <f t="shared" si="9"/>
        <v>0</v>
      </c>
      <c r="T87" s="200">
        <f t="shared" si="10"/>
        <v>0</v>
      </c>
      <c r="U87" s="191">
        <f t="shared" si="11"/>
        <v>1212649.2441210377</v>
      </c>
      <c r="V87" s="185">
        <f t="shared" si="12"/>
        <v>212213.61772118157</v>
      </c>
      <c r="W87" s="184">
        <f t="shared" si="13"/>
        <v>1452064.7308421072</v>
      </c>
      <c r="X87" s="194">
        <f t="shared" si="14"/>
        <v>254111.32789736876</v>
      </c>
      <c r="Y87" s="193">
        <f t="shared" si="15"/>
        <v>3131038.9205816956</v>
      </c>
    </row>
    <row r="88" spans="1:25" ht="13" x14ac:dyDescent="0.3">
      <c r="A88" s="182">
        <v>77</v>
      </c>
      <c r="B88" s="209">
        <f>'Short Term ETS Cash Flow 2019'!C87</f>
        <v>0</v>
      </c>
      <c r="C88" s="178">
        <f>'Short Term ETS Cash Flow 2019'!H87</f>
        <v>0</v>
      </c>
      <c r="D88" s="181">
        <f>SUM('Short Term ETS Cash Flow 2019'!D87:F87)</f>
        <v>0</v>
      </c>
      <c r="E88" s="180">
        <f>'Long Term ETS Cash Flow 2019'!C87</f>
        <v>0</v>
      </c>
      <c r="F88" s="178">
        <f>SUM('Long Term ETS Cash Flow 2019'!M87)</f>
        <v>57257.089378843928</v>
      </c>
      <c r="G88" s="181">
        <f>SUM('Long Term ETS Cash Flow 2019'!D87:J87)</f>
        <v>69794.771619511885</v>
      </c>
      <c r="H88" s="184">
        <f>'TTS Cash Flow'!B87</f>
        <v>0</v>
      </c>
      <c r="I88" s="114">
        <f>SUM('TTS Cash Flow'!F87:K87)</f>
        <v>1079842.8079163698</v>
      </c>
      <c r="J88" s="114">
        <f>SUM('TTS Cash Flow'!C87:E87)</f>
        <v>1188047.8100076378</v>
      </c>
      <c r="K88" s="184">
        <f>'Water Conveyance Cash Flow 2019'!C86</f>
        <v>0</v>
      </c>
      <c r="L88" s="114">
        <f>SUM('Water Conveyance Cash Flow 2019'!J86)</f>
        <v>73682.349054023784</v>
      </c>
      <c r="M88" s="185">
        <f>SUM('Water Conveyance Cash Flow 2019'!D86:H86)</f>
        <v>77136.074162334771</v>
      </c>
      <c r="N88" s="184">
        <f>'Sludge Disposal Cash Flow 2019'!C86</f>
        <v>0</v>
      </c>
      <c r="O88" s="185">
        <f>'Sludge Disposal Cash Flow 2019'!H86-'Sludge Disposal Cash Flow 2019'!C86</f>
        <v>55124.277268499136</v>
      </c>
      <c r="P88" s="184">
        <f>'Salt Disposal Cash Flow 2019'!C86</f>
        <v>0</v>
      </c>
      <c r="Q88" s="186">
        <f>'Salt Disposal Cash Flow 2019'!H86-'Salt Disposal Cash Flow 2019'!C86</f>
        <v>61822.466177708644</v>
      </c>
      <c r="R88" s="197"/>
      <c r="S88" s="199">
        <f t="shared" si="9"/>
        <v>0</v>
      </c>
      <c r="T88" s="200">
        <f t="shared" si="10"/>
        <v>0</v>
      </c>
      <c r="U88" s="191">
        <f t="shared" si="11"/>
        <v>1210782.2463492376</v>
      </c>
      <c r="V88" s="185">
        <f t="shared" si="12"/>
        <v>211886.89311111657</v>
      </c>
      <c r="W88" s="184">
        <f t="shared" si="13"/>
        <v>1451925.3992356921</v>
      </c>
      <c r="X88" s="194">
        <f t="shared" si="14"/>
        <v>254086.94486624611</v>
      </c>
      <c r="Y88" s="193">
        <f t="shared" si="15"/>
        <v>3128681.4835622921</v>
      </c>
    </row>
    <row r="89" spans="1:25" ht="13" x14ac:dyDescent="0.3">
      <c r="A89" s="182">
        <v>78</v>
      </c>
      <c r="B89" s="209">
        <f>'Short Term ETS Cash Flow 2019'!C88</f>
        <v>0</v>
      </c>
      <c r="C89" s="178">
        <f>'Short Term ETS Cash Flow 2019'!H88</f>
        <v>0</v>
      </c>
      <c r="D89" s="181">
        <f>SUM('Short Term ETS Cash Flow 2019'!D88:F88)</f>
        <v>0</v>
      </c>
      <c r="E89" s="180">
        <f>'Long Term ETS Cash Flow 2019'!C88</f>
        <v>0</v>
      </c>
      <c r="F89" s="178">
        <f>SUM('Long Term ETS Cash Flow 2019'!M88)</f>
        <v>57257.089378843928</v>
      </c>
      <c r="G89" s="181">
        <f>SUM('Long Term ETS Cash Flow 2019'!D88:J88)</f>
        <v>69794.771619511885</v>
      </c>
      <c r="H89" s="184">
        <f>'TTS Cash Flow'!B88</f>
        <v>0</v>
      </c>
      <c r="I89" s="114">
        <f>SUM('TTS Cash Flow'!F88:K88)</f>
        <v>1078073.0067335458</v>
      </c>
      <c r="J89" s="114">
        <f>SUM('TTS Cash Flow'!C88:E88)</f>
        <v>1188047.8100076378</v>
      </c>
      <c r="K89" s="184">
        <f>'Water Conveyance Cash Flow 2019'!C87</f>
        <v>0</v>
      </c>
      <c r="L89" s="114">
        <f>SUM('Water Conveyance Cash Flow 2019'!J87)</f>
        <v>73616.490730390753</v>
      </c>
      <c r="M89" s="185">
        <f>SUM('Water Conveyance Cash Flow 2019'!D87:H87)</f>
        <v>77136.074162334771</v>
      </c>
      <c r="N89" s="184">
        <f>'Sludge Disposal Cash Flow 2019'!C87</f>
        <v>0</v>
      </c>
      <c r="O89" s="185">
        <f>'Sludge Disposal Cash Flow 2019'!H87-'Sludge Disposal Cash Flow 2019'!C87</f>
        <v>55023.768700588887</v>
      </c>
      <c r="P89" s="184">
        <f>'Salt Disposal Cash Flow 2019'!C87</f>
        <v>0</v>
      </c>
      <c r="Q89" s="186">
        <f>'Salt Disposal Cash Flow 2019'!H87-'Salt Disposal Cash Flow 2019'!C87</f>
        <v>61785.966209166785</v>
      </c>
      <c r="R89" s="197"/>
      <c r="S89" s="199">
        <f t="shared" si="9"/>
        <v>0</v>
      </c>
      <c r="T89" s="200">
        <f t="shared" si="10"/>
        <v>0</v>
      </c>
      <c r="U89" s="191">
        <f t="shared" si="11"/>
        <v>1208946.5868427805</v>
      </c>
      <c r="V89" s="185">
        <f t="shared" si="12"/>
        <v>211565.65269748657</v>
      </c>
      <c r="W89" s="184">
        <f t="shared" si="13"/>
        <v>1451788.3906992399</v>
      </c>
      <c r="X89" s="194">
        <f t="shared" si="14"/>
        <v>254062.96837236697</v>
      </c>
      <c r="Y89" s="193">
        <f t="shared" si="15"/>
        <v>3126363.598611874</v>
      </c>
    </row>
    <row r="90" spans="1:25" ht="13" x14ac:dyDescent="0.3">
      <c r="A90" s="182">
        <v>79</v>
      </c>
      <c r="B90" s="209">
        <f>'Short Term ETS Cash Flow 2019'!C89</f>
        <v>0</v>
      </c>
      <c r="C90" s="178">
        <f>'Short Term ETS Cash Flow 2019'!H89</f>
        <v>0</v>
      </c>
      <c r="D90" s="181">
        <f>SUM('Short Term ETS Cash Flow 2019'!D89:F89)</f>
        <v>0</v>
      </c>
      <c r="E90" s="180">
        <f>'Long Term ETS Cash Flow 2019'!C89</f>
        <v>0</v>
      </c>
      <c r="F90" s="178">
        <f>SUM('Long Term ETS Cash Flow 2019'!M89)</f>
        <v>57257.089378843928</v>
      </c>
      <c r="G90" s="181">
        <f>SUM('Long Term ETS Cash Flow 2019'!D89:J89)</f>
        <v>69794.771619511885</v>
      </c>
      <c r="H90" s="184">
        <f>'TTS Cash Flow'!B89</f>
        <v>0</v>
      </c>
      <c r="I90" s="114">
        <f>SUM('TTS Cash Flow'!F89:K89)</f>
        <v>1076330.7982732975</v>
      </c>
      <c r="J90" s="114">
        <f>SUM('TTS Cash Flow'!C89:E89)</f>
        <v>1188047.8100076378</v>
      </c>
      <c r="K90" s="184">
        <f>'Water Conveyance Cash Flow 2019'!C88</f>
        <v>0</v>
      </c>
      <c r="L90" s="114">
        <f>SUM('Water Conveyance Cash Flow 2019'!J88)</f>
        <v>73551.850207668176</v>
      </c>
      <c r="M90" s="185">
        <f>SUM('Water Conveyance Cash Flow 2019'!D88:H88)</f>
        <v>77136.074162334771</v>
      </c>
      <c r="N90" s="184">
        <f>'Sludge Disposal Cash Flow 2019'!C88</f>
        <v>0</v>
      </c>
      <c r="O90" s="185">
        <f>'Sludge Disposal Cash Flow 2019'!H88-'Sludge Disposal Cash Flow 2019'!C88</f>
        <v>54924.785378726127</v>
      </c>
      <c r="P90" s="184">
        <f>'Salt Disposal Cash Flow 2019'!C88</f>
        <v>0</v>
      </c>
      <c r="Q90" s="186">
        <f>'Salt Disposal Cash Flow 2019'!H88-'Salt Disposal Cash Flow 2019'!C88</f>
        <v>61750.11971697017</v>
      </c>
      <c r="R90" s="197"/>
      <c r="S90" s="199">
        <f t="shared" si="9"/>
        <v>0</v>
      </c>
      <c r="T90" s="200">
        <f t="shared" si="10"/>
        <v>0</v>
      </c>
      <c r="U90" s="191">
        <f t="shared" si="11"/>
        <v>1207139.7378598098</v>
      </c>
      <c r="V90" s="185">
        <f t="shared" si="12"/>
        <v>211249.4541254667</v>
      </c>
      <c r="W90" s="184">
        <f t="shared" si="13"/>
        <v>1451653.5608851807</v>
      </c>
      <c r="X90" s="194">
        <f t="shared" si="14"/>
        <v>254039.37315490661</v>
      </c>
      <c r="Y90" s="193">
        <f t="shared" si="15"/>
        <v>3124082.1260253638</v>
      </c>
    </row>
    <row r="91" spans="1:25" ht="13" x14ac:dyDescent="0.3">
      <c r="A91" s="182">
        <v>80</v>
      </c>
      <c r="B91" s="209">
        <f>'Short Term ETS Cash Flow 2019'!C90</f>
        <v>0</v>
      </c>
      <c r="C91" s="178">
        <f>'Short Term ETS Cash Flow 2019'!H90</f>
        <v>0</v>
      </c>
      <c r="D91" s="181">
        <f>SUM('Short Term ETS Cash Flow 2019'!D90:F90)</f>
        <v>0</v>
      </c>
      <c r="E91" s="180">
        <f>'Long Term ETS Cash Flow 2019'!C90</f>
        <v>0</v>
      </c>
      <c r="F91" s="178">
        <f>SUM('Long Term ETS Cash Flow 2019'!M90)</f>
        <v>57257.089378843928</v>
      </c>
      <c r="G91" s="181">
        <f>SUM('Long Term ETS Cash Flow 2019'!D90:J90)</f>
        <v>69794.771619511885</v>
      </c>
      <c r="H91" s="184">
        <f>'TTS Cash Flow'!B90</f>
        <v>0</v>
      </c>
      <c r="I91" s="114">
        <f>SUM('TTS Cash Flow'!F90:K90)</f>
        <v>1074614.6275910067</v>
      </c>
      <c r="J91" s="114">
        <f>SUM('TTS Cash Flow'!C90:E90)</f>
        <v>1188047.8100076378</v>
      </c>
      <c r="K91" s="184">
        <f>'Water Conveyance Cash Flow 2019'!C89</f>
        <v>0</v>
      </c>
      <c r="L91" s="114">
        <f>SUM('Water Conveyance Cash Flow 2019'!J89)</f>
        <v>73488.351489814711</v>
      </c>
      <c r="M91" s="185">
        <f>SUM('Water Conveyance Cash Flow 2019'!D89:H89)</f>
        <v>77136.074162334771</v>
      </c>
      <c r="N91" s="184">
        <f>'Sludge Disposal Cash Flow 2019'!C89</f>
        <v>0</v>
      </c>
      <c r="O91" s="185">
        <f>'Sludge Disposal Cash Flow 2019'!H89-'Sludge Disposal Cash Flow 2019'!C89</f>
        <v>54827.24134668379</v>
      </c>
      <c r="P91" s="184">
        <f>'Salt Disposal Cash Flow 2019'!C89</f>
        <v>0</v>
      </c>
      <c r="Q91" s="186">
        <f>'Salt Disposal Cash Flow 2019'!H89-'Salt Disposal Cash Flow 2019'!C89</f>
        <v>61714.875751123844</v>
      </c>
      <c r="R91" s="197"/>
      <c r="S91" s="199">
        <f t="shared" si="9"/>
        <v>0</v>
      </c>
      <c r="T91" s="200">
        <f t="shared" si="10"/>
        <v>0</v>
      </c>
      <c r="U91" s="191">
        <f t="shared" si="11"/>
        <v>1205360.0684596654</v>
      </c>
      <c r="V91" s="185">
        <f t="shared" si="12"/>
        <v>210938.01198044143</v>
      </c>
      <c r="W91" s="184">
        <f t="shared" si="13"/>
        <v>1451520.7728872919</v>
      </c>
      <c r="X91" s="194">
        <f t="shared" si="14"/>
        <v>254016.13525527605</v>
      </c>
      <c r="Y91" s="193">
        <f t="shared" si="15"/>
        <v>3121834.9885826749</v>
      </c>
    </row>
    <row r="92" spans="1:25" ht="13" x14ac:dyDescent="0.3">
      <c r="A92" s="182">
        <v>81</v>
      </c>
      <c r="B92" s="209">
        <f>'Short Term ETS Cash Flow 2019'!C91</f>
        <v>0</v>
      </c>
      <c r="C92" s="178">
        <f>'Short Term ETS Cash Flow 2019'!H91</f>
        <v>0</v>
      </c>
      <c r="D92" s="181">
        <f>SUM('Short Term ETS Cash Flow 2019'!D91:F91)</f>
        <v>0</v>
      </c>
      <c r="E92" s="180">
        <f>'Long Term ETS Cash Flow 2019'!C91</f>
        <v>0</v>
      </c>
      <c r="F92" s="178">
        <f>SUM('Long Term ETS Cash Flow 2019'!M91)</f>
        <v>56368.681252343369</v>
      </c>
      <c r="G92" s="181">
        <f>SUM('Long Term ETS Cash Flow 2019'!D91:J91)</f>
        <v>69794.771619511885</v>
      </c>
      <c r="H92" s="184">
        <f>'TTS Cash Flow'!B91</f>
        <v>0</v>
      </c>
      <c r="I92" s="114">
        <f>SUM('TTS Cash Flow'!F91:K91)</f>
        <v>1072916.3601836052</v>
      </c>
      <c r="J92" s="114">
        <f>SUM('TTS Cash Flow'!C91:E91)</f>
        <v>1188047.8100076378</v>
      </c>
      <c r="K92" s="184">
        <f>'Water Conveyance Cash Flow 2019'!C90</f>
        <v>0</v>
      </c>
      <c r="L92" s="114">
        <f>SUM('Water Conveyance Cash Flow 2019'!J90)</f>
        <v>73425.707513173315</v>
      </c>
      <c r="M92" s="185">
        <f>SUM('Water Conveyance Cash Flow 2019'!D90:H90)</f>
        <v>77136.074162334771</v>
      </c>
      <c r="N92" s="184">
        <f>'Sludge Disposal Cash Flow 2019'!C90</f>
        <v>0</v>
      </c>
      <c r="O92" s="185">
        <f>'Sludge Disposal Cash Flow 2019'!H90-'Sludge Disposal Cash Flow 2019'!C90</f>
        <v>54730.694348182151</v>
      </c>
      <c r="P92" s="184">
        <f>'Salt Disposal Cash Flow 2019'!C90</f>
        <v>0</v>
      </c>
      <c r="Q92" s="186">
        <f>'Salt Disposal Cash Flow 2019'!H90-'Salt Disposal Cash Flow 2019'!C90</f>
        <v>61680.018030434047</v>
      </c>
      <c r="R92" s="197"/>
      <c r="S92" s="199">
        <f t="shared" si="9"/>
        <v>0</v>
      </c>
      <c r="T92" s="200">
        <f t="shared" si="10"/>
        <v>0</v>
      </c>
      <c r="U92" s="191">
        <f t="shared" si="11"/>
        <v>1202710.7489491219</v>
      </c>
      <c r="V92" s="185">
        <f t="shared" si="12"/>
        <v>210474.38106609634</v>
      </c>
      <c r="W92" s="184">
        <f t="shared" si="13"/>
        <v>1451389.3681681005</v>
      </c>
      <c r="X92" s="194">
        <f t="shared" si="14"/>
        <v>253993.13942941756</v>
      </c>
      <c r="Y92" s="193">
        <f t="shared" si="15"/>
        <v>3118567.6376127359</v>
      </c>
    </row>
    <row r="93" spans="1:25" ht="13" x14ac:dyDescent="0.3">
      <c r="A93" s="182">
        <v>82</v>
      </c>
      <c r="B93" s="209">
        <f>'Short Term ETS Cash Flow 2019'!C92</f>
        <v>0</v>
      </c>
      <c r="C93" s="178">
        <f>'Short Term ETS Cash Flow 2019'!H92</f>
        <v>0</v>
      </c>
      <c r="D93" s="181">
        <f>SUM('Short Term ETS Cash Flow 2019'!D92:F92)</f>
        <v>0</v>
      </c>
      <c r="E93" s="180">
        <f>'Long Term ETS Cash Flow 2019'!C92</f>
        <v>0</v>
      </c>
      <c r="F93" s="178">
        <f>SUM('Long Term ETS Cash Flow 2019'!M92)</f>
        <v>56368.681252343369</v>
      </c>
      <c r="G93" s="181">
        <f>SUM('Long Term ETS Cash Flow 2019'!D92:J92)</f>
        <v>69794.771619511885</v>
      </c>
      <c r="H93" s="184">
        <f>'TTS Cash Flow'!B92</f>
        <v>0</v>
      </c>
      <c r="I93" s="114">
        <f>SUM('TTS Cash Flow'!F92:K92)</f>
        <v>1071242.2231678388</v>
      </c>
      <c r="J93" s="114">
        <f>SUM('TTS Cash Flow'!C92:E92)</f>
        <v>1188047.8100076378</v>
      </c>
      <c r="K93" s="184">
        <f>'Water Conveyance Cash Flow 2019'!C91</f>
        <v>0</v>
      </c>
      <c r="L93" s="114">
        <f>SUM('Water Conveyance Cash Flow 2019'!J91)</f>
        <v>73364.014147437701</v>
      </c>
      <c r="M93" s="185">
        <f>SUM('Water Conveyance Cash Flow 2019'!D91:H91)</f>
        <v>77136.074162334771</v>
      </c>
      <c r="N93" s="184">
        <f>'Sludge Disposal Cash Flow 2019'!C91</f>
        <v>0</v>
      </c>
      <c r="O93" s="185">
        <f>'Sludge Disposal Cash Flow 2019'!H91-'Sludge Disposal Cash Flow 2019'!C91</f>
        <v>54635.47588342255</v>
      </c>
      <c r="P93" s="184">
        <f>'Salt Disposal Cash Flow 2019'!C91</f>
        <v>0</v>
      </c>
      <c r="Q93" s="186">
        <f>'Salt Disposal Cash Flow 2019'!H91-'Salt Disposal Cash Flow 2019'!C91</f>
        <v>61645.737696646764</v>
      </c>
      <c r="R93" s="197"/>
      <c r="S93" s="199">
        <f t="shared" si="9"/>
        <v>0</v>
      </c>
      <c r="T93" s="200">
        <f t="shared" si="10"/>
        <v>0</v>
      </c>
      <c r="U93" s="191">
        <f t="shared" si="11"/>
        <v>1200974.9185676198</v>
      </c>
      <c r="V93" s="185">
        <f t="shared" si="12"/>
        <v>210170.61074933346</v>
      </c>
      <c r="W93" s="184">
        <f t="shared" si="13"/>
        <v>1451259.8693695536</v>
      </c>
      <c r="X93" s="194">
        <f t="shared" si="14"/>
        <v>253970.47713967186</v>
      </c>
      <c r="Y93" s="193">
        <f t="shared" si="15"/>
        <v>3116375.8758261786</v>
      </c>
    </row>
    <row r="94" spans="1:25" ht="13" x14ac:dyDescent="0.3">
      <c r="A94" s="182">
        <v>83</v>
      </c>
      <c r="B94" s="209">
        <f>'Short Term ETS Cash Flow 2019'!C93</f>
        <v>0</v>
      </c>
      <c r="C94" s="178">
        <f>'Short Term ETS Cash Flow 2019'!H93</f>
        <v>0</v>
      </c>
      <c r="D94" s="181">
        <f>SUM('Short Term ETS Cash Flow 2019'!D93:F93)</f>
        <v>0</v>
      </c>
      <c r="E94" s="180">
        <f>'Long Term ETS Cash Flow 2019'!C93</f>
        <v>0</v>
      </c>
      <c r="F94" s="178">
        <f>SUM('Long Term ETS Cash Flow 2019'!M93)</f>
        <v>56368.681252343369</v>
      </c>
      <c r="G94" s="181">
        <f>SUM('Long Term ETS Cash Flow 2019'!D93:J93)</f>
        <v>69794.771619511885</v>
      </c>
      <c r="H94" s="184">
        <f>'TTS Cash Flow'!B93</f>
        <v>0</v>
      </c>
      <c r="I94" s="114">
        <f>SUM('TTS Cash Flow'!F93:K93)</f>
        <v>1069596.6381566923</v>
      </c>
      <c r="J94" s="114">
        <f>SUM('TTS Cash Flow'!C93:E93)</f>
        <v>1188047.8100076378</v>
      </c>
      <c r="K94" s="184">
        <f>'Water Conveyance Cash Flow 2019'!C92</f>
        <v>0</v>
      </c>
      <c r="L94" s="114">
        <f>SUM('Water Conveyance Cash Flow 2019'!J92)</f>
        <v>73303.67242956032</v>
      </c>
      <c r="M94" s="185">
        <f>SUM('Water Conveyance Cash Flow 2019'!D92:H92)</f>
        <v>77136.074162334771</v>
      </c>
      <c r="N94" s="184">
        <f>'Sludge Disposal Cash Flow 2019'!C92</f>
        <v>0</v>
      </c>
      <c r="O94" s="185">
        <f>'Sludge Disposal Cash Flow 2019'!H92-'Sludge Disposal Cash Flow 2019'!C92</f>
        <v>54541.83872930934</v>
      </c>
      <c r="P94" s="184">
        <f>'Salt Disposal Cash Flow 2019'!C92</f>
        <v>0</v>
      </c>
      <c r="Q94" s="186">
        <f>'Salt Disposal Cash Flow 2019'!H92-'Salt Disposal Cash Flow 2019'!C92</f>
        <v>61612.092448558644</v>
      </c>
      <c r="R94" s="197"/>
      <c r="S94" s="199">
        <f t="shared" si="9"/>
        <v>0</v>
      </c>
      <c r="T94" s="200">
        <f t="shared" si="10"/>
        <v>0</v>
      </c>
      <c r="U94" s="191">
        <f t="shared" si="11"/>
        <v>1199268.9918385958</v>
      </c>
      <c r="V94" s="185">
        <f t="shared" si="12"/>
        <v>209872.07357175427</v>
      </c>
      <c r="W94" s="184">
        <f t="shared" si="13"/>
        <v>1451132.5869673523</v>
      </c>
      <c r="X94" s="194">
        <f t="shared" si="14"/>
        <v>253948.20271928664</v>
      </c>
      <c r="Y94" s="193">
        <f t="shared" si="15"/>
        <v>3114221.8550969888</v>
      </c>
    </row>
    <row r="95" spans="1:25" ht="13" x14ac:dyDescent="0.3">
      <c r="A95" s="182">
        <v>84</v>
      </c>
      <c r="B95" s="209">
        <f>'Short Term ETS Cash Flow 2019'!C94</f>
        <v>0</v>
      </c>
      <c r="C95" s="178">
        <f>'Short Term ETS Cash Flow 2019'!H94</f>
        <v>0</v>
      </c>
      <c r="D95" s="181">
        <f>SUM('Short Term ETS Cash Flow 2019'!D94:F94)</f>
        <v>0</v>
      </c>
      <c r="E95" s="180">
        <f>'Long Term ETS Cash Flow 2019'!C94</f>
        <v>0</v>
      </c>
      <c r="F95" s="178">
        <f>SUM('Long Term ETS Cash Flow 2019'!M94)</f>
        <v>56368.681252343369</v>
      </c>
      <c r="G95" s="181">
        <f>SUM('Long Term ETS Cash Flow 2019'!D94:J94)</f>
        <v>69794.771619511885</v>
      </c>
      <c r="H95" s="184">
        <f>'TTS Cash Flow'!B94</f>
        <v>0</v>
      </c>
      <c r="I95" s="114">
        <f>SUM('TTS Cash Flow'!F94:K94)</f>
        <v>1067981.7122790336</v>
      </c>
      <c r="J95" s="114">
        <f>SUM('TTS Cash Flow'!C94:E94)</f>
        <v>1188047.8100076378</v>
      </c>
      <c r="K95" s="184">
        <f>'Water Conveyance Cash Flow 2019'!C93</f>
        <v>0</v>
      </c>
      <c r="L95" s="114">
        <f>SUM('Water Conveyance Cash Flow 2019'!J93)</f>
        <v>73244.629944160188</v>
      </c>
      <c r="M95" s="185">
        <f>SUM('Water Conveyance Cash Flow 2019'!D93:H93)</f>
        <v>77136.074162334771</v>
      </c>
      <c r="N95" s="184">
        <f>'Sludge Disposal Cash Flow 2019'!C93</f>
        <v>0</v>
      </c>
      <c r="O95" s="185">
        <f>'Sludge Disposal Cash Flow 2019'!H93-'Sludge Disposal Cash Flow 2019'!C93</f>
        <v>54449.890281048996</v>
      </c>
      <c r="P95" s="184">
        <f>'Salt Disposal Cash Flow 2019'!C93</f>
        <v>0</v>
      </c>
      <c r="Q95" s="186">
        <f>'Salt Disposal Cash Flow 2019'!H93-'Salt Disposal Cash Flow 2019'!C93</f>
        <v>61579.175756166333</v>
      </c>
      <c r="R95" s="197"/>
      <c r="S95" s="199">
        <f t="shared" si="9"/>
        <v>0</v>
      </c>
      <c r="T95" s="200">
        <f t="shared" si="10"/>
        <v>0</v>
      </c>
      <c r="U95" s="191">
        <f t="shared" si="11"/>
        <v>1197595.0234755371</v>
      </c>
      <c r="V95" s="185">
        <f t="shared" si="12"/>
        <v>209579.12910821897</v>
      </c>
      <c r="W95" s="184">
        <f t="shared" si="13"/>
        <v>1451007.7218266996</v>
      </c>
      <c r="X95" s="194">
        <f t="shared" si="14"/>
        <v>253926.35131967239</v>
      </c>
      <c r="Y95" s="193">
        <f t="shared" si="15"/>
        <v>3112108.2257301281</v>
      </c>
    </row>
    <row r="96" spans="1:25" ht="13" x14ac:dyDescent="0.3">
      <c r="A96" s="182">
        <v>85</v>
      </c>
      <c r="B96" s="209">
        <f>'Short Term ETS Cash Flow 2019'!C95</f>
        <v>0</v>
      </c>
      <c r="C96" s="178">
        <f>'Short Term ETS Cash Flow 2019'!H95</f>
        <v>0</v>
      </c>
      <c r="D96" s="181">
        <f>SUM('Short Term ETS Cash Flow 2019'!D95:F95)</f>
        <v>0</v>
      </c>
      <c r="E96" s="180">
        <f>'Long Term ETS Cash Flow 2019'!C95</f>
        <v>0</v>
      </c>
      <c r="F96" s="178">
        <f>SUM('Long Term ETS Cash Flow 2019'!M95)</f>
        <v>56368.681252343369</v>
      </c>
      <c r="G96" s="181">
        <f>SUM('Long Term ETS Cash Flow 2019'!D95:J95)</f>
        <v>69794.771619511885</v>
      </c>
      <c r="H96" s="184">
        <f>'TTS Cash Flow'!B95</f>
        <v>0</v>
      </c>
      <c r="I96" s="114">
        <f>SUM('TTS Cash Flow'!F95:K95)</f>
        <v>1066381.9564786698</v>
      </c>
      <c r="J96" s="114">
        <f>SUM('TTS Cash Flow'!C95:E95)</f>
        <v>1188047.8100076378</v>
      </c>
      <c r="K96" s="184">
        <f>'Water Conveyance Cash Flow 2019'!C94</f>
        <v>0</v>
      </c>
      <c r="L96" s="114">
        <f>SUM('Water Conveyance Cash Flow 2019'!J94)</f>
        <v>73186.20635408719</v>
      </c>
      <c r="M96" s="185">
        <f>SUM('Water Conveyance Cash Flow 2019'!D94:H94)</f>
        <v>77136.074162334771</v>
      </c>
      <c r="N96" s="184">
        <f>'Sludge Disposal Cash Flow 2019'!C94</f>
        <v>0</v>
      </c>
      <c r="O96" s="185">
        <f>'Sludge Disposal Cash Flow 2019'!H94-'Sludge Disposal Cash Flow 2019'!C94</f>
        <v>54358.781900478061</v>
      </c>
      <c r="P96" s="184">
        <f>'Salt Disposal Cash Flow 2019'!C94</f>
        <v>0</v>
      </c>
      <c r="Q96" s="186">
        <f>'Salt Disposal Cash Flow 2019'!H94-'Salt Disposal Cash Flow 2019'!C94</f>
        <v>61546.595732714188</v>
      </c>
      <c r="R96" s="197"/>
      <c r="S96" s="199">
        <f t="shared" si="9"/>
        <v>0</v>
      </c>
      <c r="T96" s="200">
        <f t="shared" si="10"/>
        <v>0</v>
      </c>
      <c r="U96" s="191">
        <f t="shared" si="11"/>
        <v>1195936.8440851003</v>
      </c>
      <c r="V96" s="185">
        <f t="shared" si="12"/>
        <v>209288.94771489254</v>
      </c>
      <c r="W96" s="184">
        <f t="shared" si="13"/>
        <v>1450884.0334226766</v>
      </c>
      <c r="X96" s="194">
        <f t="shared" si="14"/>
        <v>253904.70584896838</v>
      </c>
      <c r="Y96" s="193">
        <f t="shared" si="15"/>
        <v>3110014.5310716378</v>
      </c>
    </row>
    <row r="97" spans="1:26" ht="13" x14ac:dyDescent="0.3">
      <c r="A97" s="182">
        <v>86</v>
      </c>
      <c r="B97" s="209">
        <f>'Short Term ETS Cash Flow 2019'!C96</f>
        <v>0</v>
      </c>
      <c r="C97" s="178">
        <f>'Short Term ETS Cash Flow 2019'!H96</f>
        <v>0</v>
      </c>
      <c r="D97" s="181">
        <f>SUM('Short Term ETS Cash Flow 2019'!D96:F96)</f>
        <v>0</v>
      </c>
      <c r="E97" s="180">
        <f>'Long Term ETS Cash Flow 2019'!C96</f>
        <v>0</v>
      </c>
      <c r="F97" s="178">
        <f>SUM('Long Term ETS Cash Flow 2019'!M96)</f>
        <v>56368.681252343369</v>
      </c>
      <c r="G97" s="181">
        <f>SUM('Long Term ETS Cash Flow 2019'!D96:J96)</f>
        <v>69794.771619511885</v>
      </c>
      <c r="H97" s="184">
        <f>'TTS Cash Flow'!B96</f>
        <v>0</v>
      </c>
      <c r="I97" s="114">
        <f>SUM('TTS Cash Flow'!F96:K96)</f>
        <v>1064797.2825244153</v>
      </c>
      <c r="J97" s="114">
        <f>SUM('TTS Cash Flow'!C96:E96)</f>
        <v>1188047.8100076378</v>
      </c>
      <c r="K97" s="184">
        <f>'Water Conveyance Cash Flow 2019'!C95</f>
        <v>0</v>
      </c>
      <c r="L97" s="114">
        <f>SUM('Water Conveyance Cash Flow 2019'!J95)</f>
        <v>73128.633910320161</v>
      </c>
      <c r="M97" s="185">
        <f>SUM('Water Conveyance Cash Flow 2019'!D95:H95)</f>
        <v>77136.074162334771</v>
      </c>
      <c r="N97" s="184">
        <f>'Sludge Disposal Cash Flow 2019'!C95</f>
        <v>0</v>
      </c>
      <c r="O97" s="185">
        <f>'Sludge Disposal Cash Flow 2019'!H95-'Sludge Disposal Cash Flow 2019'!C95</f>
        <v>54268.520943317068</v>
      </c>
      <c r="P97" s="184">
        <f>'Salt Disposal Cash Flow 2019'!C95</f>
        <v>0</v>
      </c>
      <c r="Q97" s="186">
        <f>'Salt Disposal Cash Flow 2019'!H95-'Salt Disposal Cash Flow 2019'!C95</f>
        <v>61514.346390973667</v>
      </c>
      <c r="R97" s="197"/>
      <c r="S97" s="199">
        <f t="shared" si="9"/>
        <v>0</v>
      </c>
      <c r="T97" s="200">
        <f t="shared" si="10"/>
        <v>0</v>
      </c>
      <c r="U97" s="191">
        <f t="shared" si="11"/>
        <v>1194294.5976870789</v>
      </c>
      <c r="V97" s="185">
        <f t="shared" si="12"/>
        <v>209001.55459523879</v>
      </c>
      <c r="W97" s="184">
        <f t="shared" si="13"/>
        <v>1450761.5231237751</v>
      </c>
      <c r="X97" s="194">
        <f t="shared" si="14"/>
        <v>253883.26654666063</v>
      </c>
      <c r="Y97" s="193">
        <f t="shared" si="15"/>
        <v>3107940.9419527533</v>
      </c>
      <c r="Z97" s="452"/>
    </row>
    <row r="98" spans="1:26" ht="13" x14ac:dyDescent="0.3">
      <c r="A98" s="182">
        <v>87</v>
      </c>
      <c r="B98" s="209">
        <f>'Short Term ETS Cash Flow 2019'!C97</f>
        <v>0</v>
      </c>
      <c r="C98" s="178">
        <f>'Short Term ETS Cash Flow 2019'!H97</f>
        <v>0</v>
      </c>
      <c r="D98" s="181">
        <f>SUM('Short Term ETS Cash Flow 2019'!D97:F97)</f>
        <v>0</v>
      </c>
      <c r="E98" s="180">
        <f>'Long Term ETS Cash Flow 2019'!C97</f>
        <v>0</v>
      </c>
      <c r="F98" s="178">
        <f>SUM('Long Term ETS Cash Flow 2019'!M97)</f>
        <v>56368.681252343369</v>
      </c>
      <c r="G98" s="181">
        <f>SUM('Long Term ETS Cash Flow 2019'!D97:J97)</f>
        <v>69794.771619511885</v>
      </c>
      <c r="H98" s="184">
        <f>'TTS Cash Flow'!B97</f>
        <v>0</v>
      </c>
      <c r="I98" s="114">
        <f>SUM('TTS Cash Flow'!F97:K97)</f>
        <v>1063244.5464065492</v>
      </c>
      <c r="J98" s="114">
        <f>SUM('TTS Cash Flow'!C97:E97)</f>
        <v>1188047.8100076378</v>
      </c>
      <c r="K98" s="184">
        <f>'Water Conveyance Cash Flow 2019'!C96</f>
        <v>0</v>
      </c>
      <c r="L98" s="114">
        <f>SUM('Water Conveyance Cash Flow 2019'!J96)</f>
        <v>73072.383079236606</v>
      </c>
      <c r="M98" s="185">
        <f>SUM('Water Conveyance Cash Flow 2019'!D96:H96)</f>
        <v>77136.074162334771</v>
      </c>
      <c r="N98" s="184">
        <f>'Sludge Disposal Cash Flow 2019'!C96</f>
        <v>0</v>
      </c>
      <c r="O98" s="185">
        <f>'Sludge Disposal Cash Flow 2019'!H96-'Sludge Disposal Cash Flow 2019'!C96</f>
        <v>54180.016009761777</v>
      </c>
      <c r="P98" s="184">
        <f>'Salt Disposal Cash Flow 2019'!C96</f>
        <v>0</v>
      </c>
      <c r="Q98" s="186">
        <f>'Salt Disposal Cash Flow 2019'!H96-'Salt Disposal Cash Flow 2019'!C96</f>
        <v>61482.831224782094</v>
      </c>
      <c r="R98" s="197"/>
      <c r="S98" s="199">
        <f t="shared" si="9"/>
        <v>0</v>
      </c>
      <c r="T98" s="200">
        <f t="shared" si="10"/>
        <v>0</v>
      </c>
      <c r="U98" s="191">
        <f t="shared" si="11"/>
        <v>1192685.6107381291</v>
      </c>
      <c r="V98" s="185">
        <f t="shared" si="12"/>
        <v>208719.98187917258</v>
      </c>
      <c r="W98" s="184">
        <f t="shared" si="13"/>
        <v>1450641.5030240281</v>
      </c>
      <c r="X98" s="194">
        <f t="shared" si="14"/>
        <v>253862.26302920491</v>
      </c>
      <c r="Y98" s="193">
        <f t="shared" si="15"/>
        <v>3105909.3586705346</v>
      </c>
      <c r="Z98" s="452"/>
    </row>
    <row r="99" spans="1:26" ht="13" x14ac:dyDescent="0.3">
      <c r="A99" s="182">
        <v>88</v>
      </c>
      <c r="B99" s="209">
        <f>'Short Term ETS Cash Flow 2019'!C98</f>
        <v>0</v>
      </c>
      <c r="C99" s="178">
        <f>'Short Term ETS Cash Flow 2019'!H98</f>
        <v>0</v>
      </c>
      <c r="D99" s="181">
        <f>SUM('Short Term ETS Cash Flow 2019'!D98:F98)</f>
        <v>0</v>
      </c>
      <c r="E99" s="180">
        <f>'Long Term ETS Cash Flow 2019'!C98</f>
        <v>0</v>
      </c>
      <c r="F99" s="178">
        <f>SUM('Long Term ETS Cash Flow 2019'!M98)</f>
        <v>56368.681252343369</v>
      </c>
      <c r="G99" s="181">
        <f>SUM('Long Term ETS Cash Flow 2019'!D98:J98)</f>
        <v>69794.771619511885</v>
      </c>
      <c r="H99" s="184">
        <f>'TTS Cash Flow'!B98</f>
        <v>0</v>
      </c>
      <c r="I99" s="114">
        <f>SUM('TTS Cash Flow'!F98:K98)</f>
        <v>1061712.3165148476</v>
      </c>
      <c r="J99" s="114">
        <f>SUM('TTS Cash Flow'!C98:E98)</f>
        <v>1188047.8100076378</v>
      </c>
      <c r="K99" s="184">
        <f>'Water Conveyance Cash Flow 2019'!C97</f>
        <v>0</v>
      </c>
      <c r="L99" s="114">
        <f>SUM('Water Conveyance Cash Flow 2019'!J97)</f>
        <v>73016.801321789244</v>
      </c>
      <c r="M99" s="185">
        <f>SUM('Water Conveyance Cash Flow 2019'!D97:H97)</f>
        <v>77136.074162334771</v>
      </c>
      <c r="N99" s="184">
        <f>'Sludge Disposal Cash Flow 2019'!C97</f>
        <v>0</v>
      </c>
      <c r="O99" s="185">
        <f>'Sludge Disposal Cash Flow 2019'!H97-'Sludge Disposal Cash Flow 2019'!C97</f>
        <v>54092.632944235884</v>
      </c>
      <c r="P99" s="184">
        <f>'Salt Disposal Cash Flow 2019'!C97</f>
        <v>0</v>
      </c>
      <c r="Q99" s="186">
        <f>'Salt Disposal Cash Flow 2019'!H97-'Salt Disposal Cash Flow 2019'!C97</f>
        <v>61451.841636121149</v>
      </c>
      <c r="R99" s="197"/>
      <c r="S99" s="199">
        <f t="shared" si="9"/>
        <v>0</v>
      </c>
      <c r="T99" s="200">
        <f t="shared" si="10"/>
        <v>0</v>
      </c>
      <c r="U99" s="191">
        <f t="shared" si="11"/>
        <v>1191097.7990889801</v>
      </c>
      <c r="V99" s="185">
        <f t="shared" si="12"/>
        <v>208442.11484057151</v>
      </c>
      <c r="W99" s="184">
        <f t="shared" si="13"/>
        <v>1450523.1303698411</v>
      </c>
      <c r="X99" s="194">
        <f t="shared" si="14"/>
        <v>253841.54781472217</v>
      </c>
      <c r="Y99" s="193">
        <f t="shared" si="15"/>
        <v>3103904.5921141151</v>
      </c>
      <c r="Z99" s="452"/>
    </row>
    <row r="100" spans="1:26" ht="13" x14ac:dyDescent="0.3">
      <c r="A100" s="182">
        <v>89</v>
      </c>
      <c r="B100" s="209">
        <f>'Short Term ETS Cash Flow 2019'!C99</f>
        <v>0</v>
      </c>
      <c r="C100" s="178">
        <f>'Short Term ETS Cash Flow 2019'!H99</f>
        <v>0</v>
      </c>
      <c r="D100" s="181">
        <f>SUM('Short Term ETS Cash Flow 2019'!D99:F99)</f>
        <v>0</v>
      </c>
      <c r="E100" s="180">
        <f>'Long Term ETS Cash Flow 2019'!C99</f>
        <v>0</v>
      </c>
      <c r="F100" s="178">
        <f>SUM('Long Term ETS Cash Flow 2019'!M99)</f>
        <v>56368.681252343369</v>
      </c>
      <c r="G100" s="181">
        <f>SUM('Long Term ETS Cash Flow 2019'!D99:J99)</f>
        <v>69794.771619511885</v>
      </c>
      <c r="H100" s="184">
        <f>'TTS Cash Flow'!B99</f>
        <v>0</v>
      </c>
      <c r="I100" s="114">
        <f>SUM('TTS Cash Flow'!F99:K99)</f>
        <v>1060203.614113518</v>
      </c>
      <c r="J100" s="114">
        <f>SUM('TTS Cash Flow'!C99:E99)</f>
        <v>1188047.8100076378</v>
      </c>
      <c r="K100" s="184">
        <f>'Water Conveyance Cash Flow 2019'!C98</f>
        <v>0</v>
      </c>
      <c r="L100" s="114">
        <f>SUM('Water Conveyance Cash Flow 2019'!J98)</f>
        <v>72962.352480591377</v>
      </c>
      <c r="M100" s="185">
        <f>SUM('Water Conveyance Cash Flow 2019'!D98:H98)</f>
        <v>77136.074162334771</v>
      </c>
      <c r="N100" s="184">
        <f>'Sludge Disposal Cash Flow 2019'!C98</f>
        <v>0</v>
      </c>
      <c r="O100" s="185">
        <f>'Sludge Disposal Cash Flow 2019'!H98-'Sludge Disposal Cash Flow 2019'!C98</f>
        <v>54006.554216118268</v>
      </c>
      <c r="P100" s="184">
        <f>'Salt Disposal Cash Flow 2019'!C98</f>
        <v>0</v>
      </c>
      <c r="Q100" s="186">
        <f>'Salt Disposal Cash Flow 2019'!H98-'Salt Disposal Cash Flow 2019'!C98</f>
        <v>61421.347558067093</v>
      </c>
      <c r="R100" s="197"/>
      <c r="S100" s="199">
        <f t="shared" si="9"/>
        <v>0</v>
      </c>
      <c r="T100" s="200">
        <f t="shared" si="10"/>
        <v>0</v>
      </c>
      <c r="U100" s="191">
        <f t="shared" si="11"/>
        <v>1189534.6478464527</v>
      </c>
      <c r="V100" s="185">
        <f t="shared" si="12"/>
        <v>208168.5633731292</v>
      </c>
      <c r="W100" s="184">
        <f t="shared" si="13"/>
        <v>1450406.5575636697</v>
      </c>
      <c r="X100" s="194">
        <f t="shared" si="14"/>
        <v>253821.1475736422</v>
      </c>
      <c r="Y100" s="193">
        <f t="shared" si="15"/>
        <v>3101930.9163568942</v>
      </c>
      <c r="Z100" s="452"/>
    </row>
    <row r="101" spans="1:26" ht="13" x14ac:dyDescent="0.3">
      <c r="A101" s="182">
        <v>90</v>
      </c>
      <c r="B101" s="209">
        <f>'Short Term ETS Cash Flow 2019'!C100</f>
        <v>0</v>
      </c>
      <c r="C101" s="178">
        <f>'Short Term ETS Cash Flow 2019'!H100</f>
        <v>0</v>
      </c>
      <c r="D101" s="181">
        <f>SUM('Short Term ETS Cash Flow 2019'!D100:F100)</f>
        <v>0</v>
      </c>
      <c r="E101" s="180">
        <f>'Long Term ETS Cash Flow 2019'!C100</f>
        <v>0</v>
      </c>
      <c r="F101" s="178">
        <f>SUM('Long Term ETS Cash Flow 2019'!M100)</f>
        <v>56368.681252343369</v>
      </c>
      <c r="G101" s="181">
        <f>SUM('Long Term ETS Cash Flow 2019'!D100:J100)</f>
        <v>69794.771619511885</v>
      </c>
      <c r="H101" s="184">
        <f>'TTS Cash Flow'!B100</f>
        <v>0</v>
      </c>
      <c r="I101" s="114">
        <f>SUM('TTS Cash Flow'!F100:K100)</f>
        <v>1058716.2854880099</v>
      </c>
      <c r="J101" s="114">
        <f>SUM('TTS Cash Flow'!C100:E100)</f>
        <v>1188047.8100076378</v>
      </c>
      <c r="K101" s="184">
        <f>'Water Conveyance Cash Flow 2019'!C99</f>
        <v>0</v>
      </c>
      <c r="L101" s="114">
        <f>SUM('Water Conveyance Cash Flow 2019'!J99)</f>
        <v>72908.791180081316</v>
      </c>
      <c r="M101" s="185">
        <f>SUM('Water Conveyance Cash Flow 2019'!D99:H99)</f>
        <v>77136.074162334771</v>
      </c>
      <c r="N101" s="184">
        <f>'Sludge Disposal Cash Flow 2019'!C99</f>
        <v>0</v>
      </c>
      <c r="O101" s="185">
        <f>'Sludge Disposal Cash Flow 2019'!H99-'Sludge Disposal Cash Flow 2019'!C99</f>
        <v>53921.653739742018</v>
      </c>
      <c r="P101" s="184">
        <f>'Salt Disposal Cash Flow 2019'!C99</f>
        <v>0</v>
      </c>
      <c r="Q101" s="186">
        <f>'Salt Disposal Cash Flow 2019'!H99-'Salt Disposal Cash Flow 2019'!C99</f>
        <v>61391.366627534473</v>
      </c>
      <c r="R101" s="197"/>
      <c r="S101" s="199">
        <f t="shared" si="9"/>
        <v>0</v>
      </c>
      <c r="T101" s="200">
        <f t="shared" si="10"/>
        <v>0</v>
      </c>
      <c r="U101" s="191">
        <f t="shared" si="11"/>
        <v>1187993.7579204347</v>
      </c>
      <c r="V101" s="185">
        <f t="shared" si="12"/>
        <v>207898.90763607607</v>
      </c>
      <c r="W101" s="184">
        <f t="shared" si="13"/>
        <v>1450291.6761567607</v>
      </c>
      <c r="X101" s="194">
        <f t="shared" si="14"/>
        <v>253801.04332743309</v>
      </c>
      <c r="Y101" s="193">
        <f t="shared" si="15"/>
        <v>3099985.3850407042</v>
      </c>
      <c r="Z101" s="452"/>
    </row>
    <row r="102" spans="1:26" ht="13" x14ac:dyDescent="0.3">
      <c r="A102" s="182">
        <v>91</v>
      </c>
      <c r="B102" s="209">
        <f>'Short Term ETS Cash Flow 2019'!C101</f>
        <v>0</v>
      </c>
      <c r="C102" s="178">
        <f>'Short Term ETS Cash Flow 2019'!H101</f>
        <v>0</v>
      </c>
      <c r="D102" s="181">
        <f>SUM('Short Term ETS Cash Flow 2019'!D101:F101)</f>
        <v>0</v>
      </c>
      <c r="E102" s="180">
        <f>'Long Term ETS Cash Flow 2019'!C101</f>
        <v>0</v>
      </c>
      <c r="F102" s="178">
        <f>SUM('Long Term ETS Cash Flow 2019'!M101)</f>
        <v>56368.681252343369</v>
      </c>
      <c r="G102" s="181">
        <f>SUM('Long Term ETS Cash Flow 2019'!D101:J101)</f>
        <v>69794.771619511885</v>
      </c>
      <c r="H102" s="184">
        <f>'TTS Cash Flow'!B101</f>
        <v>0</v>
      </c>
      <c r="I102" s="114">
        <f>SUM('TTS Cash Flow'!F101:K101)</f>
        <v>1057251.1239201266</v>
      </c>
      <c r="J102" s="114">
        <f>SUM('TTS Cash Flow'!C101:E101)</f>
        <v>1188047.8100076378</v>
      </c>
      <c r="K102" s="184">
        <f>'Water Conveyance Cash Flow 2019'!C100</f>
        <v>0</v>
      </c>
      <c r="L102" s="114">
        <f>SUM('Water Conveyance Cash Flow 2019'!J100)</f>
        <v>72856.241056025174</v>
      </c>
      <c r="M102" s="185">
        <f>SUM('Water Conveyance Cash Flow 2019'!D100:H100)</f>
        <v>77136.074162334771</v>
      </c>
      <c r="N102" s="184">
        <f>'Sludge Disposal Cash Flow 2019'!C100</f>
        <v>0</v>
      </c>
      <c r="O102" s="185">
        <f>'Sludge Disposal Cash Flow 2019'!H100-'Sludge Disposal Cash Flow 2019'!C100</f>
        <v>53837.979292009943</v>
      </c>
      <c r="P102" s="184">
        <f>'Salt Disposal Cash Flow 2019'!C100</f>
        <v>0</v>
      </c>
      <c r="Q102" s="186">
        <f>'Salt Disposal Cash Flow 2019'!H100-'Salt Disposal Cash Flow 2019'!C100</f>
        <v>61361.893241381928</v>
      </c>
      <c r="R102" s="197"/>
      <c r="S102" s="199">
        <f t="shared" si="9"/>
        <v>0</v>
      </c>
      <c r="T102" s="200">
        <f t="shared" si="10"/>
        <v>0</v>
      </c>
      <c r="U102" s="191">
        <f t="shared" si="11"/>
        <v>1186476.0462284952</v>
      </c>
      <c r="V102" s="185">
        <f t="shared" si="12"/>
        <v>207633.30808998665</v>
      </c>
      <c r="W102" s="184">
        <f t="shared" si="13"/>
        <v>1450178.5283228762</v>
      </c>
      <c r="X102" s="194">
        <f t="shared" si="14"/>
        <v>253781.24245650333</v>
      </c>
      <c r="Y102" s="193">
        <f t="shared" si="15"/>
        <v>3098069.1250978615</v>
      </c>
      <c r="Z102" s="452"/>
    </row>
    <row r="103" spans="1:26" ht="13" x14ac:dyDescent="0.3">
      <c r="A103" s="182">
        <v>92</v>
      </c>
      <c r="B103" s="209">
        <f>'Short Term ETS Cash Flow 2019'!C102</f>
        <v>0</v>
      </c>
      <c r="C103" s="178">
        <f>'Short Term ETS Cash Flow 2019'!H102</f>
        <v>0</v>
      </c>
      <c r="D103" s="181">
        <f>SUM('Short Term ETS Cash Flow 2019'!D102:F102)</f>
        <v>0</v>
      </c>
      <c r="E103" s="180">
        <f>'Long Term ETS Cash Flow 2019'!C102</f>
        <v>0</v>
      </c>
      <c r="F103" s="178">
        <f>SUM('Long Term ETS Cash Flow 2019'!M102)</f>
        <v>56368.681252343369</v>
      </c>
      <c r="G103" s="181">
        <f>SUM('Long Term ETS Cash Flow 2019'!D102:J102)</f>
        <v>69794.771619511885</v>
      </c>
      <c r="H103" s="184">
        <f>'TTS Cash Flow'!B102</f>
        <v>0</v>
      </c>
      <c r="I103" s="114">
        <f>SUM('TTS Cash Flow'!F102:K102)</f>
        <v>1055812.7492952556</v>
      </c>
      <c r="J103" s="114">
        <f>SUM('TTS Cash Flow'!C102:E102)</f>
        <v>1066663.5025076377</v>
      </c>
      <c r="K103" s="184">
        <f>'Water Conveyance Cash Flow 2019'!C101</f>
        <v>0</v>
      </c>
      <c r="L103" s="114">
        <f>SUM('Water Conveyance Cash Flow 2019'!J101)</f>
        <v>72804.94564569983</v>
      </c>
      <c r="M103" s="185">
        <f>SUM('Water Conveyance Cash Flow 2019'!D101:H101)</f>
        <v>77136.074162334771</v>
      </c>
      <c r="N103" s="184">
        <f>'Sludge Disposal Cash Flow 2019'!C101</f>
        <v>0</v>
      </c>
      <c r="O103" s="185">
        <f>'Sludge Disposal Cash Flow 2019'!H101-'Sludge Disposal Cash Flow 2019'!C101</f>
        <v>53755.785550868008</v>
      </c>
      <c r="P103" s="184">
        <f>'Salt Disposal Cash Flow 2019'!C101</f>
        <v>0</v>
      </c>
      <c r="Q103" s="186">
        <f>'Salt Disposal Cash Flow 2019'!H101-'Salt Disposal Cash Flow 2019'!C101</f>
        <v>61333.03756000939</v>
      </c>
      <c r="R103" s="197"/>
      <c r="S103" s="199">
        <f t="shared" si="9"/>
        <v>0</v>
      </c>
      <c r="T103" s="200">
        <f t="shared" si="10"/>
        <v>0</v>
      </c>
      <c r="U103" s="191">
        <f t="shared" si="11"/>
        <v>1184986.3761932987</v>
      </c>
      <c r="V103" s="185">
        <f t="shared" si="12"/>
        <v>207372.61583382727</v>
      </c>
      <c r="W103" s="184">
        <f t="shared" si="13"/>
        <v>1328683.1714003615</v>
      </c>
      <c r="X103" s="194">
        <f t="shared" si="14"/>
        <v>232519.55499506323</v>
      </c>
      <c r="Y103" s="193">
        <f t="shared" si="15"/>
        <v>2953561.7184225507</v>
      </c>
      <c r="Z103" s="452"/>
    </row>
    <row r="104" spans="1:26" ht="13" x14ac:dyDescent="0.3">
      <c r="A104" s="182">
        <v>93</v>
      </c>
      <c r="B104" s="209">
        <f>'Short Term ETS Cash Flow 2019'!C103</f>
        <v>0</v>
      </c>
      <c r="C104" s="178">
        <f>'Short Term ETS Cash Flow 2019'!H103</f>
        <v>0</v>
      </c>
      <c r="D104" s="181">
        <f>SUM('Short Term ETS Cash Flow 2019'!D103:F103)</f>
        <v>0</v>
      </c>
      <c r="E104" s="180">
        <f>'Long Term ETS Cash Flow 2019'!C103</f>
        <v>0</v>
      </c>
      <c r="F104" s="178">
        <f>SUM('Long Term ETS Cash Flow 2019'!M103)</f>
        <v>56368.681252343369</v>
      </c>
      <c r="G104" s="181">
        <f>SUM('Long Term ETS Cash Flow 2019'!D103:J103)</f>
        <v>69794.771619511885</v>
      </c>
      <c r="H104" s="184">
        <f>'TTS Cash Flow'!B103</f>
        <v>0</v>
      </c>
      <c r="I104" s="114">
        <f>SUM('TTS Cash Flow'!F103:K103)</f>
        <v>1054397.2292085607</v>
      </c>
      <c r="J104" s="114">
        <f>SUM('TTS Cash Flow'!C103:E103)</f>
        <v>1066663.5025076377</v>
      </c>
      <c r="K104" s="184">
        <f>'Water Conveyance Cash Flow 2019'!C102</f>
        <v>0</v>
      </c>
      <c r="L104" s="114">
        <f>SUM('Water Conveyance Cash Flow 2019'!J102)</f>
        <v>72754.635864722615</v>
      </c>
      <c r="M104" s="185">
        <f>SUM('Water Conveyance Cash Flow 2019'!D102:H102)</f>
        <v>77136.074162334771</v>
      </c>
      <c r="N104" s="184">
        <f>'Sludge Disposal Cash Flow 2019'!C102</f>
        <v>0</v>
      </c>
      <c r="O104" s="185">
        <f>'Sludge Disposal Cash Flow 2019'!H102-'Sludge Disposal Cash Flow 2019'!C102</f>
        <v>53674.851930457633</v>
      </c>
      <c r="P104" s="184">
        <f>'Salt Disposal Cash Flow 2019'!C102</f>
        <v>0</v>
      </c>
      <c r="Q104" s="186">
        <f>'Salt Disposal Cash Flow 2019'!H102-'Salt Disposal Cash Flow 2019'!C102</f>
        <v>61304.723824393135</v>
      </c>
      <c r="R104" s="197"/>
      <c r="S104" s="199">
        <f t="shared" si="9"/>
        <v>0</v>
      </c>
      <c r="T104" s="200">
        <f t="shared" si="10"/>
        <v>0</v>
      </c>
      <c r="U104" s="191">
        <f t="shared" si="11"/>
        <v>1183520.5463256266</v>
      </c>
      <c r="V104" s="185">
        <f t="shared" si="12"/>
        <v>207116.09560698463</v>
      </c>
      <c r="W104" s="184">
        <f t="shared" si="13"/>
        <v>1328573.924044335</v>
      </c>
      <c r="X104" s="194">
        <f t="shared" si="14"/>
        <v>232500.43670775861</v>
      </c>
      <c r="Y104" s="193">
        <f t="shared" si="15"/>
        <v>2951711.002684705</v>
      </c>
      <c r="Z104" s="452"/>
    </row>
    <row r="105" spans="1:26" ht="13" x14ac:dyDescent="0.3">
      <c r="A105" s="182">
        <v>94</v>
      </c>
      <c r="B105" s="209">
        <f>'Short Term ETS Cash Flow 2019'!C104</f>
        <v>0</v>
      </c>
      <c r="C105" s="178">
        <f>'Short Term ETS Cash Flow 2019'!H104</f>
        <v>0</v>
      </c>
      <c r="D105" s="181">
        <f>SUM('Short Term ETS Cash Flow 2019'!D104:F104)</f>
        <v>0</v>
      </c>
      <c r="E105" s="180">
        <f>'Long Term ETS Cash Flow 2019'!C104</f>
        <v>0</v>
      </c>
      <c r="F105" s="178">
        <f>SUM('Long Term ETS Cash Flow 2019'!M104)</f>
        <v>56368.681252343369</v>
      </c>
      <c r="G105" s="181">
        <f>SUM('Long Term ETS Cash Flow 2019'!D104:J104)</f>
        <v>69794.771619511885</v>
      </c>
      <c r="H105" s="184">
        <f>'TTS Cash Flow'!B104</f>
        <v>0</v>
      </c>
      <c r="I105" s="114">
        <f>SUM('TTS Cash Flow'!F104:K104)</f>
        <v>1052993.2689382988</v>
      </c>
      <c r="J105" s="114">
        <f>SUM('TTS Cash Flow'!C104:E104)</f>
        <v>1066663.5025076377</v>
      </c>
      <c r="K105" s="184">
        <f>'Water Conveyance Cash Flow 2019'!C103</f>
        <v>0</v>
      </c>
      <c r="L105" s="114">
        <f>SUM('Water Conveyance Cash Flow 2019'!J103)</f>
        <v>72704.760635895436</v>
      </c>
      <c r="M105" s="185">
        <f>SUM('Water Conveyance Cash Flow 2019'!D103:H103)</f>
        <v>77136.074162334771</v>
      </c>
      <c r="N105" s="184">
        <f>'Sludge Disposal Cash Flow 2019'!C103</f>
        <v>0</v>
      </c>
      <c r="O105" s="185">
        <f>'Sludge Disposal Cash Flow 2019'!H103-'Sludge Disposal Cash Flow 2019'!C103</f>
        <v>53594.557183805737</v>
      </c>
      <c r="P105" s="184">
        <f>'Salt Disposal Cash Flow 2019'!C103</f>
        <v>0</v>
      </c>
      <c r="Q105" s="186">
        <f>'Salt Disposal Cash Flow 2019'!H103-'Salt Disposal Cash Flow 2019'!C103</f>
        <v>61276.661042253516</v>
      </c>
      <c r="R105" s="197"/>
      <c r="S105" s="199">
        <f t="shared" si="9"/>
        <v>0</v>
      </c>
      <c r="T105" s="200">
        <f t="shared" si="10"/>
        <v>0</v>
      </c>
      <c r="U105" s="191">
        <f t="shared" si="11"/>
        <v>1182066.7108265376</v>
      </c>
      <c r="V105" s="185">
        <f t="shared" si="12"/>
        <v>206861.67439464407</v>
      </c>
      <c r="W105" s="184">
        <f t="shared" si="13"/>
        <v>1328465.5665155435</v>
      </c>
      <c r="X105" s="194">
        <f t="shared" si="14"/>
        <v>232481.47414022009</v>
      </c>
      <c r="Y105" s="193">
        <f t="shared" si="15"/>
        <v>2949875.4258769453</v>
      </c>
      <c r="Z105" s="452"/>
    </row>
    <row r="106" spans="1:26" ht="13" x14ac:dyDescent="0.3">
      <c r="A106" s="182">
        <v>95</v>
      </c>
      <c r="B106" s="209">
        <f>'Short Term ETS Cash Flow 2019'!C105</f>
        <v>0</v>
      </c>
      <c r="C106" s="178">
        <f>'Short Term ETS Cash Flow 2019'!H105</f>
        <v>0</v>
      </c>
      <c r="D106" s="181">
        <f>SUM('Short Term ETS Cash Flow 2019'!D105:F105)</f>
        <v>0</v>
      </c>
      <c r="E106" s="180">
        <f>'Long Term ETS Cash Flow 2019'!C105</f>
        <v>0</v>
      </c>
      <c r="F106" s="178">
        <f>SUM('Long Term ETS Cash Flow 2019'!M105)</f>
        <v>56368.681252343369</v>
      </c>
      <c r="G106" s="181">
        <f>SUM('Long Term ETS Cash Flow 2019'!D105:J105)</f>
        <v>69794.771619511885</v>
      </c>
      <c r="H106" s="184">
        <f>'TTS Cash Flow'!B105</f>
        <v>0</v>
      </c>
      <c r="I106" s="114">
        <f>SUM('TTS Cash Flow'!F105:K105)</f>
        <v>1051617.0714483703</v>
      </c>
      <c r="J106" s="114">
        <f>SUM('TTS Cash Flow'!C105:E105)</f>
        <v>1066663.5025076377</v>
      </c>
      <c r="K106" s="184">
        <f>'Water Conveyance Cash Flow 2019'!C104</f>
        <v>0</v>
      </c>
      <c r="L106" s="114">
        <f>SUM('Water Conveyance Cash Flow 2019'!J104)</f>
        <v>72656.061923293091</v>
      </c>
      <c r="M106" s="185">
        <f>SUM('Water Conveyance Cash Flow 2019'!D104:H104)</f>
        <v>77136.074162334771</v>
      </c>
      <c r="N106" s="184">
        <f>'Sludge Disposal Cash Flow 2019'!C104</f>
        <v>0</v>
      </c>
      <c r="O106" s="185">
        <f>'Sludge Disposal Cash Flow 2019'!H104-'Sludge Disposal Cash Flow 2019'!C104</f>
        <v>53515.78937952267</v>
      </c>
      <c r="P106" s="184">
        <f>'Salt Disposal Cash Flow 2019'!C104</f>
        <v>0</v>
      </c>
      <c r="Q106" s="186">
        <f>'Salt Disposal Cash Flow 2019'!H104-'Salt Disposal Cash Flow 2019'!C104</f>
        <v>61249.245495152703</v>
      </c>
      <c r="R106" s="197"/>
      <c r="S106" s="199">
        <f t="shared" si="9"/>
        <v>0</v>
      </c>
      <c r="T106" s="200">
        <f t="shared" si="10"/>
        <v>0</v>
      </c>
      <c r="U106" s="191">
        <f t="shared" si="11"/>
        <v>1180641.8146240069</v>
      </c>
      <c r="V106" s="185">
        <f t="shared" si="12"/>
        <v>206612.31755920118</v>
      </c>
      <c r="W106" s="184">
        <f t="shared" si="13"/>
        <v>1328359.3831641595</v>
      </c>
      <c r="X106" s="194">
        <f t="shared" si="14"/>
        <v>232462.8920537279</v>
      </c>
      <c r="Y106" s="193">
        <f t="shared" si="15"/>
        <v>2948076.4074010956</v>
      </c>
      <c r="Z106" s="452"/>
    </row>
    <row r="107" spans="1:26" ht="13" x14ac:dyDescent="0.3">
      <c r="A107" s="182">
        <v>96</v>
      </c>
      <c r="B107" s="209">
        <f>'Short Term ETS Cash Flow 2019'!C106</f>
        <v>0</v>
      </c>
      <c r="C107" s="178">
        <f>'Short Term ETS Cash Flow 2019'!H106</f>
        <v>0</v>
      </c>
      <c r="D107" s="181">
        <f>SUM('Short Term ETS Cash Flow 2019'!D106:F106)</f>
        <v>0</v>
      </c>
      <c r="E107" s="180">
        <f>'Long Term ETS Cash Flow 2019'!C106</f>
        <v>0</v>
      </c>
      <c r="F107" s="178">
        <f>SUM('Long Term ETS Cash Flow 2019'!M106)</f>
        <v>56368.681252343369</v>
      </c>
      <c r="G107" s="181">
        <f>SUM('Long Term ETS Cash Flow 2019'!D106:J106)</f>
        <v>69794.771619511885</v>
      </c>
      <c r="H107" s="184">
        <f>'TTS Cash Flow'!B106</f>
        <v>0</v>
      </c>
      <c r="I107" s="114">
        <f>SUM('TTS Cash Flow'!F106:K106)</f>
        <v>1050250.7629727297</v>
      </c>
      <c r="J107" s="114">
        <f>SUM('TTS Cash Flow'!C106:E106)</f>
        <v>1066663.5025076377</v>
      </c>
      <c r="K107" s="184">
        <f>'Water Conveyance Cash Flow 2019'!C105</f>
        <v>0</v>
      </c>
      <c r="L107" s="114">
        <f>SUM('Water Conveyance Cash Flow 2019'!J105)</f>
        <v>72607.932200746349</v>
      </c>
      <c r="M107" s="185">
        <f>SUM('Water Conveyance Cash Flow 2019'!D105:H105)</f>
        <v>77136.074162334771</v>
      </c>
      <c r="N107" s="184">
        <f>'Sludge Disposal Cash Flow 2019'!C105</f>
        <v>0</v>
      </c>
      <c r="O107" s="185">
        <f>'Sludge Disposal Cash Flow 2019'!H105-'Sludge Disposal Cash Flow 2019'!C105</f>
        <v>53437.579358189512</v>
      </c>
      <c r="P107" s="184">
        <f>'Salt Disposal Cash Flow 2019'!C105</f>
        <v>0</v>
      </c>
      <c r="Q107" s="186">
        <f>'Salt Disposal Cash Flow 2019'!H105-'Salt Disposal Cash Flow 2019'!C105</f>
        <v>61222.048354543236</v>
      </c>
      <c r="R107" s="197"/>
      <c r="S107" s="199">
        <f t="shared" si="9"/>
        <v>0</v>
      </c>
      <c r="T107" s="200">
        <f t="shared" si="10"/>
        <v>0</v>
      </c>
      <c r="U107" s="191">
        <f t="shared" si="11"/>
        <v>1179227.3764258195</v>
      </c>
      <c r="V107" s="185">
        <f t="shared" si="12"/>
        <v>206364.7908745184</v>
      </c>
      <c r="W107" s="184">
        <f t="shared" si="13"/>
        <v>1328253.976002217</v>
      </c>
      <c r="X107" s="194">
        <f t="shared" si="14"/>
        <v>232444.44580038797</v>
      </c>
      <c r="Y107" s="193">
        <f t="shared" si="15"/>
        <v>2946290.589102943</v>
      </c>
      <c r="Z107" s="452"/>
    </row>
    <row r="108" spans="1:26" ht="13" x14ac:dyDescent="0.3">
      <c r="A108" s="182">
        <v>97</v>
      </c>
      <c r="B108" s="209">
        <f>'Short Term ETS Cash Flow 2019'!C107</f>
        <v>0</v>
      </c>
      <c r="C108" s="178">
        <f>'Short Term ETS Cash Flow 2019'!H107</f>
        <v>0</v>
      </c>
      <c r="D108" s="181">
        <f>SUM('Short Term ETS Cash Flow 2019'!D107:F107)</f>
        <v>0</v>
      </c>
      <c r="E108" s="180">
        <f>'Long Term ETS Cash Flow 2019'!C107</f>
        <v>0</v>
      </c>
      <c r="F108" s="178">
        <f>SUM('Long Term ETS Cash Flow 2019'!M107)</f>
        <v>56368.681252343369</v>
      </c>
      <c r="G108" s="181">
        <f>SUM('Long Term ETS Cash Flow 2019'!D107:J107)</f>
        <v>69794.771619511885</v>
      </c>
      <c r="H108" s="184">
        <f>'TTS Cash Flow'!B107</f>
        <v>0</v>
      </c>
      <c r="I108" s="114">
        <f>SUM('TTS Cash Flow'!F107:K107)</f>
        <v>1048905.3955267936</v>
      </c>
      <c r="J108" s="114">
        <f>SUM('TTS Cash Flow'!C107:E107)</f>
        <v>1066663.5025076377</v>
      </c>
      <c r="K108" s="184">
        <f>'Water Conveyance Cash Flow 2019'!C106</f>
        <v>0</v>
      </c>
      <c r="L108" s="114">
        <f>SUM('Water Conveyance Cash Flow 2019'!J106)</f>
        <v>72560.627638104488</v>
      </c>
      <c r="M108" s="185">
        <f>SUM('Water Conveyance Cash Flow 2019'!D106:H106)</f>
        <v>77136.074162334771</v>
      </c>
      <c r="N108" s="184">
        <f>'Sludge Disposal Cash Flow 2019'!C106</f>
        <v>0</v>
      </c>
      <c r="O108" s="185">
        <f>'Sludge Disposal Cash Flow 2019'!H106-'Sludge Disposal Cash Flow 2019'!C106</f>
        <v>53360.519803116898</v>
      </c>
      <c r="P108" s="184">
        <f>'Salt Disposal Cash Flow 2019'!C106</f>
        <v>0</v>
      </c>
      <c r="Q108" s="186">
        <f>'Salt Disposal Cash Flow 2019'!H106-'Salt Disposal Cash Flow 2019'!C106</f>
        <v>61195.340736348626</v>
      </c>
      <c r="R108" s="197"/>
      <c r="S108" s="199">
        <f t="shared" si="9"/>
        <v>0</v>
      </c>
      <c r="T108" s="200">
        <f t="shared" si="10"/>
        <v>0</v>
      </c>
      <c r="U108" s="191">
        <f t="shared" si="11"/>
        <v>1177834.7044172413</v>
      </c>
      <c r="V108" s="185">
        <f t="shared" si="12"/>
        <v>206121.07327301722</v>
      </c>
      <c r="W108" s="184">
        <f t="shared" si="13"/>
        <v>1328150.2088289496</v>
      </c>
      <c r="X108" s="194">
        <f t="shared" si="14"/>
        <v>232426.28654506616</v>
      </c>
      <c r="Y108" s="193">
        <f t="shared" si="15"/>
        <v>2944532.2730642743</v>
      </c>
      <c r="Z108" s="452"/>
    </row>
    <row r="109" spans="1:26" ht="13" x14ac:dyDescent="0.3">
      <c r="A109" s="182">
        <v>98</v>
      </c>
      <c r="B109" s="209">
        <f>'Short Term ETS Cash Flow 2019'!C108</f>
        <v>0</v>
      </c>
      <c r="C109" s="178">
        <f>'Short Term ETS Cash Flow 2019'!H108</f>
        <v>0</v>
      </c>
      <c r="D109" s="181">
        <f>SUM('Short Term ETS Cash Flow 2019'!D108:F108)</f>
        <v>0</v>
      </c>
      <c r="E109" s="180">
        <f>'Long Term ETS Cash Flow 2019'!C108</f>
        <v>0</v>
      </c>
      <c r="F109" s="178">
        <f>SUM('Long Term ETS Cash Flow 2019'!M108)</f>
        <v>56368.681252343369</v>
      </c>
      <c r="G109" s="181">
        <f>SUM('Long Term ETS Cash Flow 2019'!D108:J108)</f>
        <v>69794.771619511885</v>
      </c>
      <c r="H109" s="184">
        <f>'TTS Cash Flow'!B108</f>
        <v>0</v>
      </c>
      <c r="I109" s="114">
        <f>SUM('TTS Cash Flow'!F108:K108)</f>
        <v>1047576.9083343683</v>
      </c>
      <c r="J109" s="114">
        <f>SUM('TTS Cash Flow'!C108:E108)</f>
        <v>1066663.5025076377</v>
      </c>
      <c r="K109" s="184">
        <f>'Water Conveyance Cash Flow 2019'!C107</f>
        <v>0</v>
      </c>
      <c r="L109" s="114">
        <f>SUM('Water Conveyance Cash Flow 2019'!J107)</f>
        <v>72513.981186385805</v>
      </c>
      <c r="M109" s="185">
        <f>SUM('Water Conveyance Cash Flow 2019'!D107:H107)</f>
        <v>77136.074162334771</v>
      </c>
      <c r="N109" s="184">
        <f>'Sludge Disposal Cash Flow 2019'!C107</f>
        <v>0</v>
      </c>
      <c r="O109" s="185">
        <f>'Sludge Disposal Cash Flow 2019'!H107-'Sludge Disposal Cash Flow 2019'!C107</f>
        <v>53284.388889933107</v>
      </c>
      <c r="P109" s="184">
        <f>'Salt Disposal Cash Flow 2019'!C107</f>
        <v>0</v>
      </c>
      <c r="Q109" s="186">
        <f>'Salt Disposal Cash Flow 2019'!H107-'Salt Disposal Cash Flow 2019'!C107</f>
        <v>61169.028412173939</v>
      </c>
      <c r="R109" s="197"/>
      <c r="S109" s="199">
        <f t="shared" si="9"/>
        <v>0</v>
      </c>
      <c r="T109" s="200">
        <f t="shared" si="10"/>
        <v>0</v>
      </c>
      <c r="U109" s="191">
        <f t="shared" si="11"/>
        <v>1176459.5707730975</v>
      </c>
      <c r="V109" s="185">
        <f t="shared" si="12"/>
        <v>205880.42488529204</v>
      </c>
      <c r="W109" s="184">
        <f t="shared" si="13"/>
        <v>1328047.7655915911</v>
      </c>
      <c r="X109" s="194">
        <f t="shared" si="14"/>
        <v>232408.35897852844</v>
      </c>
      <c r="Y109" s="193">
        <f t="shared" si="15"/>
        <v>2942796.1202285094</v>
      </c>
      <c r="Z109" s="452"/>
    </row>
    <row r="110" spans="1:26" ht="13" x14ac:dyDescent="0.3">
      <c r="A110" s="182">
        <v>99</v>
      </c>
      <c r="B110" s="209">
        <f>'Short Term ETS Cash Flow 2019'!C109</f>
        <v>0</v>
      </c>
      <c r="C110" s="178">
        <f>'Short Term ETS Cash Flow 2019'!H109</f>
        <v>0</v>
      </c>
      <c r="D110" s="181">
        <f>SUM('Short Term ETS Cash Flow 2019'!D109:F109)</f>
        <v>0</v>
      </c>
      <c r="E110" s="180">
        <f>'Long Term ETS Cash Flow 2019'!C109</f>
        <v>0</v>
      </c>
      <c r="F110" s="178">
        <f>SUM('Long Term ETS Cash Flow 2019'!M109)</f>
        <v>56368.681252343369</v>
      </c>
      <c r="G110" s="181">
        <f>SUM('Long Term ETS Cash Flow 2019'!D109:J109)</f>
        <v>69794.771619511885</v>
      </c>
      <c r="H110" s="184">
        <f>'TTS Cash Flow'!B109</f>
        <v>0</v>
      </c>
      <c r="I110" s="114">
        <f>SUM('TTS Cash Flow'!F109:K109)</f>
        <v>1046266.1119565491</v>
      </c>
      <c r="J110" s="114">
        <f>SUM('TTS Cash Flow'!C109:E109)</f>
        <v>1066663.5025076377</v>
      </c>
      <c r="K110" s="184">
        <f>'Water Conveyance Cash Flow 2019'!C108</f>
        <v>0</v>
      </c>
      <c r="L110" s="114">
        <f>SUM('Water Conveyance Cash Flow 2019'!J108)</f>
        <v>72468.215044634024</v>
      </c>
      <c r="M110" s="185">
        <f>SUM('Water Conveyance Cash Flow 2019'!D108:H108)</f>
        <v>77136.074162334771</v>
      </c>
      <c r="N110" s="184">
        <f>'Sludge Disposal Cash Flow 2019'!C108</f>
        <v>0</v>
      </c>
      <c r="O110" s="185">
        <f>'Sludge Disposal Cash Flow 2019'!H108-'Sludge Disposal Cash Flow 2019'!C108</f>
        <v>53209.240363214354</v>
      </c>
      <c r="P110" s="184">
        <f>'Salt Disposal Cash Flow 2019'!C108</f>
        <v>0</v>
      </c>
      <c r="Q110" s="186">
        <f>'Salt Disposal Cash Flow 2019'!H108-'Salt Disposal Cash Flow 2019'!C108</f>
        <v>61143.118879839691</v>
      </c>
      <c r="R110" s="197"/>
      <c r="S110" s="199">
        <f t="shared" si="9"/>
        <v>0</v>
      </c>
      <c r="T110" s="200">
        <f t="shared" si="10"/>
        <v>0</v>
      </c>
      <c r="U110" s="191">
        <f t="shared" si="11"/>
        <v>1175103.0082535264</v>
      </c>
      <c r="V110" s="185">
        <f t="shared" si="12"/>
        <v>205643.0264443671</v>
      </c>
      <c r="W110" s="184">
        <f t="shared" si="13"/>
        <v>1327946.7075325383</v>
      </c>
      <c r="X110" s="194">
        <f t="shared" si="14"/>
        <v>232390.67381819419</v>
      </c>
      <c r="Y110" s="193">
        <f t="shared" si="15"/>
        <v>2941083.4160486264</v>
      </c>
      <c r="Z110" s="452"/>
    </row>
    <row r="111" spans="1:26" ht="13.5" thickBot="1" x14ac:dyDescent="0.35">
      <c r="A111" s="188">
        <v>100</v>
      </c>
      <c r="B111" s="209">
        <f>'Short Term ETS Cash Flow 2019'!C110</f>
        <v>0</v>
      </c>
      <c r="C111" s="178">
        <f>'Short Term ETS Cash Flow 2019'!H110</f>
        <v>0</v>
      </c>
      <c r="D111" s="181">
        <f>SUM('Short Term ETS Cash Flow 2019'!D110:F110)</f>
        <v>0</v>
      </c>
      <c r="E111" s="180">
        <f>'Long Term ETS Cash Flow 2019'!C110</f>
        <v>0</v>
      </c>
      <c r="F111" s="178">
        <f>SUM('Long Term ETS Cash Flow 2019'!M110)</f>
        <v>56368.681252343369</v>
      </c>
      <c r="G111" s="181">
        <f>SUM('Long Term ETS Cash Flow 2019'!D110:J110)</f>
        <v>69794.771619511885</v>
      </c>
      <c r="H111" s="184">
        <f>'TTS Cash Flow'!B110</f>
        <v>0</v>
      </c>
      <c r="I111" s="114">
        <f>SUM('TTS Cash Flow'!F110:K110)</f>
        <v>1044977.9741761151</v>
      </c>
      <c r="J111" s="114">
        <f>SUM('TTS Cash Flow'!C110:E110)</f>
        <v>1066663.5025076377</v>
      </c>
      <c r="K111" s="184">
        <f>'Water Conveyance Cash Flow 2019'!C109</f>
        <v>0</v>
      </c>
      <c r="L111" s="114">
        <f>SUM('Water Conveyance Cash Flow 2019'!J109)</f>
        <v>72423.242163434581</v>
      </c>
      <c r="M111" s="185">
        <f>SUM('Water Conveyance Cash Flow 2019'!D109:H109)</f>
        <v>77136.074162334771</v>
      </c>
      <c r="N111" s="184">
        <f>'Sludge Disposal Cash Flow 2019'!C109</f>
        <v>0</v>
      </c>
      <c r="O111" s="185">
        <f>'Sludge Disposal Cash Flow 2019'!H109-'Sludge Disposal Cash Flow 2019'!C109</f>
        <v>53135.330020824229</v>
      </c>
      <c r="P111" s="184">
        <f>'Salt Disposal Cash Flow 2019'!C109</f>
        <v>0</v>
      </c>
      <c r="Q111" s="186">
        <f>'Salt Disposal Cash Flow 2019'!H109-'Salt Disposal Cash Flow 2019'!C109</f>
        <v>61117.727799418812</v>
      </c>
      <c r="R111" s="197"/>
      <c r="S111" s="199">
        <f t="shared" si="9"/>
        <v>0</v>
      </c>
      <c r="T111" s="200">
        <f>S111*$V$4</f>
        <v>0</v>
      </c>
      <c r="U111" s="191">
        <f>SUM(C111,F111,I111,L111)</f>
        <v>1173769.8975918931</v>
      </c>
      <c r="V111" s="185">
        <f>U111*$V$5</f>
        <v>205409.73207858129</v>
      </c>
      <c r="W111" s="184">
        <f t="shared" si="13"/>
        <v>1327847.4061097272</v>
      </c>
      <c r="X111" s="194">
        <f>W111*$V$6</f>
        <v>232373.29606920225</v>
      </c>
      <c r="Y111" s="193">
        <f t="shared" si="15"/>
        <v>2939400.3318494037</v>
      </c>
      <c r="Z111" s="452"/>
    </row>
    <row r="112" spans="1:26" ht="13.5" thickBot="1" x14ac:dyDescent="0.35">
      <c r="A112" s="210" t="s">
        <v>55</v>
      </c>
      <c r="B112" s="211">
        <f>SUM(B11:B111)</f>
        <v>1331300</v>
      </c>
      <c r="C112" s="212">
        <f>SUM(C11:C111)</f>
        <v>17063018.544309072</v>
      </c>
      <c r="D112" s="213">
        <f>SUM(D11:D111)</f>
        <v>1336899.1725000001</v>
      </c>
      <c r="E112" s="214">
        <f>SUM(E12:E111)</f>
        <v>1257312</v>
      </c>
      <c r="F112" s="212">
        <f>SUM(F12:F111)</f>
        <v>7559078.6870805928</v>
      </c>
      <c r="G112" s="213">
        <f>SUM(G12:G111)</f>
        <v>6351324.2173755728</v>
      </c>
      <c r="H112" s="214">
        <f>SUM(H12:H111)</f>
        <v>7232445.0002545901</v>
      </c>
      <c r="I112" s="212">
        <f t="shared" ref="I112:J112" si="16">SUM(I12:I111)</f>
        <v>100303735.66071583</v>
      </c>
      <c r="J112" s="213">
        <f t="shared" si="16"/>
        <v>105570872.27065676</v>
      </c>
      <c r="K112" s="214">
        <f>SUM(K12:K111)</f>
        <v>959861</v>
      </c>
      <c r="L112" s="212">
        <f t="shared" ref="L112:N112" si="17">SUM(L12:L111)</f>
        <v>6618316.1026015282</v>
      </c>
      <c r="M112" s="213">
        <f t="shared" si="17"/>
        <v>6633702.3779607974</v>
      </c>
      <c r="N112" s="213">
        <f t="shared" si="17"/>
        <v>142304.81804274194</v>
      </c>
      <c r="O112" s="215">
        <f>SUM(O12:O111)</f>
        <v>5142345.7834538072</v>
      </c>
      <c r="P112" s="216">
        <f>SUM(P10:P111)</f>
        <v>990022.35</v>
      </c>
      <c r="Q112" s="215">
        <f>SUM(Q12:Q111)</f>
        <v>7352254.9599298276</v>
      </c>
      <c r="R112" s="198"/>
      <c r="S112" s="217">
        <f>SUM(S11:S111)</f>
        <v>11913245.168297332</v>
      </c>
      <c r="T112" s="218">
        <f t="shared" ref="T112:X112" si="18">SUM(T11:T111)</f>
        <v>3573973.5504891998</v>
      </c>
      <c r="U112" s="217">
        <f t="shared" si="18"/>
        <v>131544148.99470694</v>
      </c>
      <c r="V112" s="218">
        <f t="shared" si="18"/>
        <v>23020226.07407371</v>
      </c>
      <c r="W112" s="217">
        <f t="shared" si="18"/>
        <v>132387398.78187682</v>
      </c>
      <c r="X112" s="218">
        <f t="shared" si="18"/>
        <v>23167794.786828451</v>
      </c>
      <c r="Y112" s="219">
        <f>SUM(Y11:Y111)</f>
        <v>325606787.35627258</v>
      </c>
      <c r="Z112" s="320"/>
    </row>
    <row r="113" spans="1:16" x14ac:dyDescent="0.25">
      <c r="A113" s="452" t="s">
        <v>67</v>
      </c>
      <c r="B113" s="452"/>
      <c r="C113" s="452"/>
      <c r="D113" s="452"/>
      <c r="E113" s="320" t="s">
        <v>0</v>
      </c>
      <c r="F113" s="452"/>
      <c r="G113" s="452"/>
      <c r="H113" s="452"/>
      <c r="I113" s="452"/>
      <c r="J113" s="452"/>
      <c r="K113" s="452"/>
      <c r="L113" s="452"/>
      <c r="M113" s="452"/>
      <c r="N113" s="452"/>
      <c r="O113" s="452"/>
      <c r="P113" s="452"/>
    </row>
    <row r="114" spans="1:16" ht="14.5" x14ac:dyDescent="0.35">
      <c r="A114" s="179"/>
      <c r="B114" s="92"/>
      <c r="C114" s="320"/>
      <c r="D114" s="452"/>
      <c r="E114" s="92"/>
      <c r="F114" s="452"/>
      <c r="G114" s="452"/>
      <c r="H114" s="321" t="s">
        <v>0</v>
      </c>
      <c r="I114" s="452"/>
      <c r="J114" s="452"/>
      <c r="K114" s="452"/>
      <c r="L114" s="452"/>
      <c r="M114" s="452"/>
      <c r="N114" s="452"/>
      <c r="O114" s="452"/>
      <c r="P114" s="452"/>
    </row>
    <row r="115" spans="1:16" x14ac:dyDescent="0.25">
      <c r="A115" s="187"/>
      <c r="B115" s="452"/>
      <c r="C115" s="452"/>
      <c r="D115" s="452"/>
      <c r="E115" s="452"/>
      <c r="F115" s="452"/>
      <c r="G115" s="452"/>
      <c r="H115" s="452" t="s">
        <v>0</v>
      </c>
      <c r="I115" s="452"/>
      <c r="J115" s="452"/>
      <c r="K115" s="452"/>
      <c r="L115" s="452"/>
      <c r="M115" s="452"/>
      <c r="N115" s="452"/>
      <c r="O115" s="320"/>
      <c r="P115" s="452"/>
    </row>
    <row r="116" spans="1:16" x14ac:dyDescent="0.25">
      <c r="A116" s="452"/>
      <c r="B116" s="452"/>
      <c r="C116" s="452"/>
      <c r="D116" s="452"/>
      <c r="E116" s="452"/>
      <c r="F116" s="320"/>
      <c r="G116" s="452"/>
      <c r="H116" s="452"/>
      <c r="I116" s="452"/>
      <c r="J116" s="452"/>
      <c r="K116" s="452"/>
      <c r="L116" s="452"/>
      <c r="M116" s="452"/>
      <c r="N116" s="452"/>
      <c r="O116" s="452"/>
      <c r="P116" s="452"/>
    </row>
    <row r="117" spans="1:16" x14ac:dyDescent="0.25">
      <c r="A117" s="452"/>
      <c r="B117" s="452"/>
      <c r="C117" s="320"/>
      <c r="D117" s="452"/>
      <c r="E117" s="452"/>
      <c r="F117" s="320"/>
      <c r="G117" s="452"/>
      <c r="H117" s="452"/>
      <c r="I117" s="452"/>
      <c r="J117" s="452"/>
      <c r="K117" s="452"/>
      <c r="L117" s="452"/>
      <c r="M117" s="452"/>
      <c r="N117" s="452"/>
      <c r="O117" s="452"/>
      <c r="P117" s="320"/>
    </row>
    <row r="120" spans="1:16" x14ac:dyDescent="0.25">
      <c r="A120" s="452"/>
      <c r="B120" s="452"/>
      <c r="C120" s="452"/>
      <c r="D120" s="452"/>
      <c r="E120" s="452"/>
      <c r="F120" s="452"/>
      <c r="G120" s="452"/>
      <c r="H120" s="452"/>
      <c r="I120" s="320"/>
      <c r="J120" s="452"/>
      <c r="K120" s="452"/>
      <c r="L120" s="452"/>
      <c r="M120" s="452"/>
      <c r="N120" s="452"/>
      <c r="O120" s="452"/>
      <c r="P120" s="452"/>
    </row>
    <row r="122" spans="1:16" x14ac:dyDescent="0.25">
      <c r="A122" s="452"/>
      <c r="B122" s="452"/>
      <c r="C122" s="452"/>
      <c r="D122" s="452"/>
      <c r="E122" s="452"/>
      <c r="F122" s="452"/>
      <c r="G122" s="452"/>
      <c r="H122" s="452"/>
      <c r="I122" s="452"/>
      <c r="J122" s="320"/>
      <c r="K122" s="452"/>
      <c r="L122" s="452"/>
      <c r="M122" s="452"/>
      <c r="N122" s="452"/>
      <c r="O122" s="452"/>
      <c r="P122" s="452"/>
    </row>
  </sheetData>
  <sheetProtection algorithmName="SHA-512" hashValue="UL8QAjao2GzjVZ0xZfbg6g2aYKPNyMrZmxtY9y3gbjaNunRGX9sADUg5sAoDOqKmbVBDnHMCaRL4OdQeKnLRcg==" saltValue="9hkHdfwI+gawbOJ3C9MqvA==" spinCount="100000" sheet="1" objects="1" scenarios="1"/>
  <mergeCells count="14">
    <mergeCell ref="AC7:AD7"/>
    <mergeCell ref="A9:A10"/>
    <mergeCell ref="N9:O9"/>
    <mergeCell ref="P9:Q9"/>
    <mergeCell ref="B9:D9"/>
    <mergeCell ref="K9:M9"/>
    <mergeCell ref="S3:U3"/>
    <mergeCell ref="B8:Q8"/>
    <mergeCell ref="S9:Y9"/>
    <mergeCell ref="E9:G9"/>
    <mergeCell ref="H9:J9"/>
    <mergeCell ref="S5:U5"/>
    <mergeCell ref="S6:U6"/>
    <mergeCell ref="S4:U4"/>
  </mergeCells>
  <hyperlinks>
    <hyperlink ref="H114" r:id="rId1" display="=@sum(H17:H111)" xr:uid="{00000000-0004-0000-0100-000000000000}"/>
  </hyperlinks>
  <pageMargins left="0.7" right="0.7" top="0.75" bottom="0.75" header="0.3" footer="0.3"/>
  <pageSetup paperSize="17" scale="36" fitToHeight="0" orientation="landscape" horizontalDpi="1200" verticalDpi="1200" r:id="rId2"/>
  <headerFooter scaleWithDoc="0">
    <oddFooter>&amp;R&amp;"Arial,Regular"&amp;8&amp;P  of 2</oddFooter>
  </headerFooter>
  <rowBreaks count="1" manualBreakCount="1">
    <brk id="80" max="2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3:J115"/>
  <sheetViews>
    <sheetView view="pageBreakPreview" zoomScale="91" zoomScaleNormal="100" zoomScaleSheetLayoutView="91" workbookViewId="0">
      <pane xSplit="2" ySplit="9" topLeftCell="C94" activePane="bottomRight" state="frozen"/>
      <selection activeCell="W116" sqref="W116"/>
      <selection pane="topRight" activeCell="W116" sqref="W116"/>
      <selection pane="bottomLeft" activeCell="W116" sqref="W116"/>
      <selection pane="bottomRight" activeCell="W116" sqref="W116"/>
    </sheetView>
  </sheetViews>
  <sheetFormatPr defaultColWidth="9.26953125" defaultRowHeight="14" x14ac:dyDescent="0.3"/>
  <cols>
    <col min="1" max="1" width="12.54296875" style="7" customWidth="1"/>
    <col min="2" max="2" width="11.54296875" style="7" customWidth="1"/>
    <col min="3" max="3" width="13.7265625" style="7" customWidth="1"/>
    <col min="4" max="4" width="15.26953125" style="7" customWidth="1"/>
    <col min="5" max="5" width="18.36328125" style="7" customWidth="1"/>
    <col min="6" max="6" width="21.26953125" style="7" customWidth="1"/>
    <col min="7" max="7" width="17" style="7" customWidth="1"/>
    <col min="8" max="8" width="16.26953125" style="7" customWidth="1"/>
    <col min="9" max="9" width="15.36328125" style="7" customWidth="1"/>
    <col min="10" max="10" width="13.26953125" style="90" customWidth="1"/>
    <col min="11" max="16384" width="9.26953125" style="90"/>
  </cols>
  <sheetData>
    <row r="3" spans="1:10" ht="20.25" customHeight="1" x14ac:dyDescent="0.35">
      <c r="A3" s="3"/>
      <c r="B3" s="3"/>
      <c r="F3" s="2"/>
      <c r="G3" s="451"/>
      <c r="H3" s="685" t="s">
        <v>10</v>
      </c>
      <c r="I3" s="685"/>
    </row>
    <row r="4" spans="1:10" ht="15" customHeight="1" x14ac:dyDescent="0.3">
      <c r="A4" s="688" t="s">
        <v>1</v>
      </c>
      <c r="B4" s="689"/>
      <c r="C4" s="118" t="str">
        <f>'2019 CCP Summary'!B4</f>
        <v>REV 0 July 29, 2019</v>
      </c>
      <c r="D4" s="118"/>
      <c r="E4" s="118"/>
      <c r="H4" s="530" t="s">
        <v>68</v>
      </c>
      <c r="I4" s="517">
        <v>1331300</v>
      </c>
      <c r="J4" s="97"/>
    </row>
    <row r="5" spans="1:10" x14ac:dyDescent="0.3">
      <c r="A5" s="690" t="s">
        <v>2</v>
      </c>
      <c r="B5" s="689"/>
      <c r="C5" s="6">
        <f>'2019 CCP Summary'!B5</f>
        <v>18106417</v>
      </c>
      <c r="D5" s="6"/>
      <c r="E5" s="6"/>
      <c r="H5" s="530" t="s">
        <v>69</v>
      </c>
      <c r="I5" s="538">
        <v>0</v>
      </c>
      <c r="J5" s="97"/>
    </row>
    <row r="6" spans="1:10" x14ac:dyDescent="0.3">
      <c r="A6" s="690" t="s">
        <v>3</v>
      </c>
      <c r="B6" s="689"/>
      <c r="C6" s="6" t="s">
        <v>70</v>
      </c>
      <c r="D6" s="6"/>
      <c r="E6" s="6"/>
      <c r="G6" s="539"/>
      <c r="H6" s="530" t="s">
        <v>71</v>
      </c>
      <c r="I6" s="552">
        <v>1.4999999999999999E-2</v>
      </c>
      <c r="J6" s="94"/>
    </row>
    <row r="7" spans="1:10" ht="14.75" customHeight="1" x14ac:dyDescent="0.3">
      <c r="A7" s="691" t="s">
        <v>5</v>
      </c>
      <c r="B7" s="689"/>
      <c r="C7" s="6" t="str">
        <f>'2019 CCP Summary'!B7</f>
        <v>Tyrone Mine Closure Closeout Plan</v>
      </c>
      <c r="D7" s="6"/>
      <c r="E7" s="6"/>
      <c r="G7" s="318"/>
      <c r="H7" s="530" t="s">
        <v>72</v>
      </c>
      <c r="I7" s="566">
        <v>4.4694352896556322E-2</v>
      </c>
      <c r="J7" s="119"/>
    </row>
    <row r="8" spans="1:10" ht="14.75" customHeight="1" x14ac:dyDescent="0.3">
      <c r="A8" s="201"/>
      <c r="B8" s="145"/>
      <c r="C8" s="6"/>
      <c r="D8" s="6"/>
      <c r="E8" s="6"/>
      <c r="F8" s="6"/>
      <c r="G8" s="318"/>
      <c r="H8" s="530" t="s">
        <v>73</v>
      </c>
      <c r="I8" s="566">
        <v>4.5333893342660331E-2</v>
      </c>
    </row>
    <row r="9" spans="1:10" s="542" customFormat="1" ht="39" x14ac:dyDescent="0.3">
      <c r="A9" s="575" t="s">
        <v>74</v>
      </c>
      <c r="B9" s="575" t="s">
        <v>50</v>
      </c>
      <c r="C9" s="223" t="s">
        <v>75</v>
      </c>
      <c r="D9" s="223" t="s">
        <v>76</v>
      </c>
      <c r="E9" s="223" t="s">
        <v>77</v>
      </c>
      <c r="F9" s="223" t="s">
        <v>78</v>
      </c>
      <c r="G9" s="223" t="s">
        <v>79</v>
      </c>
      <c r="H9" s="224" t="s">
        <v>80</v>
      </c>
      <c r="I9" s="327" t="s">
        <v>81</v>
      </c>
    </row>
    <row r="10" spans="1:10" ht="14.5" x14ac:dyDescent="0.35">
      <c r="A10" s="169">
        <v>0</v>
      </c>
      <c r="B10" s="169">
        <v>2014</v>
      </c>
      <c r="C10" s="325">
        <f>I4</f>
        <v>1331300</v>
      </c>
      <c r="D10" s="325">
        <v>0</v>
      </c>
      <c r="E10" s="325">
        <v>0</v>
      </c>
      <c r="F10" s="325">
        <v>0</v>
      </c>
      <c r="G10" s="326">
        <v>0</v>
      </c>
      <c r="H10" s="325">
        <f>G10*0.04</f>
        <v>0</v>
      </c>
      <c r="I10" s="325">
        <f>SUM(C10:F10,H10)</f>
        <v>1331300</v>
      </c>
    </row>
    <row r="11" spans="1:10" x14ac:dyDescent="0.3">
      <c r="A11" s="169">
        <v>1</v>
      </c>
      <c r="B11" s="169">
        <f>+B10+1</f>
        <v>2015</v>
      </c>
      <c r="C11" s="325">
        <f t="shared" ref="C11:C17" si="0">$I$4*$I$5</f>
        <v>0</v>
      </c>
      <c r="D11" s="325">
        <v>0</v>
      </c>
      <c r="E11" s="325">
        <f>$I$4*$I$6</f>
        <v>19969.5</v>
      </c>
      <c r="F11" s="325">
        <f>'Short Term ETS Labor 2019'!$B$28</f>
        <v>128574.85250000001</v>
      </c>
      <c r="G11" s="332">
        <v>57509400</v>
      </c>
      <c r="H11" s="325">
        <f>G11*$I$7</f>
        <v>2570345.4184692162</v>
      </c>
      <c r="I11" s="325">
        <f>SUM(C11:F11,H11)</f>
        <v>2718889.7709692162</v>
      </c>
    </row>
    <row r="12" spans="1:10" x14ac:dyDescent="0.3">
      <c r="A12" s="169">
        <v>2</v>
      </c>
      <c r="B12" s="169">
        <f t="shared" ref="B12:B75" si="1">+B11+1</f>
        <v>2016</v>
      </c>
      <c r="C12" s="325">
        <f t="shared" si="0"/>
        <v>0</v>
      </c>
      <c r="D12" s="325">
        <v>0</v>
      </c>
      <c r="E12" s="325">
        <f t="shared" ref="E12:E16" si="2">$I$4*$I$6</f>
        <v>19969.5</v>
      </c>
      <c r="F12" s="325">
        <f>'Short Term ETS Labor 2019'!$B$28</f>
        <v>128574.85250000001</v>
      </c>
      <c r="G12" s="332">
        <v>61348143.651280247</v>
      </c>
      <c r="H12" s="325">
        <f t="shared" ref="H12:H16" si="3">G12*$I$7</f>
        <v>2741915.5818989505</v>
      </c>
      <c r="I12" s="325">
        <f t="shared" ref="I12:I74" si="4">SUM(C12:F12,H12)</f>
        <v>2890459.9343989505</v>
      </c>
    </row>
    <row r="13" spans="1:10" x14ac:dyDescent="0.3">
      <c r="A13" s="169">
        <v>3</v>
      </c>
      <c r="B13" s="169">
        <f t="shared" si="1"/>
        <v>2017</v>
      </c>
      <c r="C13" s="325">
        <f t="shared" si="0"/>
        <v>0</v>
      </c>
      <c r="D13" s="325">
        <v>0</v>
      </c>
      <c r="E13" s="325">
        <f t="shared" si="2"/>
        <v>19969.5</v>
      </c>
      <c r="F13" s="325">
        <f>'Short Term ETS Labor 2019'!$B$28</f>
        <v>128574.85250000001</v>
      </c>
      <c r="G13" s="332">
        <v>55402667.382417381</v>
      </c>
      <c r="H13" s="325">
        <f>G13*$I$7</f>
        <v>2476186.3674002928</v>
      </c>
      <c r="I13" s="325">
        <f t="shared" si="4"/>
        <v>2624730.7199002928</v>
      </c>
    </row>
    <row r="14" spans="1:10" x14ac:dyDescent="0.3">
      <c r="A14" s="169">
        <v>4</v>
      </c>
      <c r="B14" s="169">
        <f t="shared" si="1"/>
        <v>2018</v>
      </c>
      <c r="C14" s="325">
        <f t="shared" si="0"/>
        <v>0</v>
      </c>
      <c r="D14" s="325">
        <v>0</v>
      </c>
      <c r="E14" s="325">
        <f t="shared" si="2"/>
        <v>19969.5</v>
      </c>
      <c r="F14" s="325">
        <f>'Short Term ETS Labor 2019'!$B$28</f>
        <v>128574.85250000001</v>
      </c>
      <c r="G14" s="332">
        <v>49444697.793679751</v>
      </c>
      <c r="H14" s="325">
        <f t="shared" si="3"/>
        <v>2209898.7720543025</v>
      </c>
      <c r="I14" s="325">
        <f t="shared" si="4"/>
        <v>2358443.1245543025</v>
      </c>
    </row>
    <row r="15" spans="1:10" x14ac:dyDescent="0.3">
      <c r="A15" s="169">
        <v>5</v>
      </c>
      <c r="B15" s="169">
        <f t="shared" si="1"/>
        <v>2019</v>
      </c>
      <c r="C15" s="325">
        <f t="shared" si="0"/>
        <v>0</v>
      </c>
      <c r="D15" s="325">
        <v>0</v>
      </c>
      <c r="E15" s="325">
        <f t="shared" si="2"/>
        <v>19969.5</v>
      </c>
      <c r="F15" s="325">
        <f>'Short Term ETS Labor 2019'!$B$28</f>
        <v>128574.85250000001</v>
      </c>
      <c r="G15" s="332">
        <v>43470665.365103118</v>
      </c>
      <c r="H15" s="325">
        <f t="shared" si="3"/>
        <v>1942893.2584760271</v>
      </c>
      <c r="I15" s="325">
        <f t="shared" si="4"/>
        <v>2091437.6109760271</v>
      </c>
    </row>
    <row r="16" spans="1:10" x14ac:dyDescent="0.3">
      <c r="A16" s="169">
        <v>6</v>
      </c>
      <c r="B16" s="169">
        <f t="shared" si="1"/>
        <v>2020</v>
      </c>
      <c r="C16" s="325">
        <f t="shared" si="0"/>
        <v>0</v>
      </c>
      <c r="D16" s="325">
        <v>0</v>
      </c>
      <c r="E16" s="325">
        <f t="shared" si="2"/>
        <v>19969.5</v>
      </c>
      <c r="F16" s="325">
        <f>'Short Term ETS Labor 2019'!$B$28</f>
        <v>128574.85250000001</v>
      </c>
      <c r="G16" s="332">
        <v>37498417.696508586</v>
      </c>
      <c r="H16" s="325">
        <f t="shared" si="3"/>
        <v>1675967.5135902273</v>
      </c>
      <c r="I16" s="325">
        <f>SUM(C16:F16,H16)</f>
        <v>1824511.8660902274</v>
      </c>
      <c r="J16" s="7"/>
    </row>
    <row r="17" spans="1:10" x14ac:dyDescent="0.3">
      <c r="A17" s="169">
        <v>7</v>
      </c>
      <c r="B17" s="169">
        <f t="shared" si="1"/>
        <v>2021</v>
      </c>
      <c r="C17" s="325">
        <f t="shared" si="0"/>
        <v>0</v>
      </c>
      <c r="D17" s="325">
        <v>0</v>
      </c>
      <c r="E17" s="325">
        <f t="shared" ref="E17:E19" si="5">$I$4*$I$6</f>
        <v>19969.5</v>
      </c>
      <c r="F17" s="325">
        <f>'Short Term ETS Labor 2019'!$B$28</f>
        <v>128574.85250000001</v>
      </c>
      <c r="G17" s="332">
        <v>31670735.58646502</v>
      </c>
      <c r="H17" s="325">
        <f t="shared" ref="H17:H19" si="6">G17*$I$7</f>
        <v>1415503.0327949922</v>
      </c>
      <c r="I17" s="325">
        <f t="shared" si="4"/>
        <v>1564047.3852949922</v>
      </c>
      <c r="J17" s="7"/>
    </row>
    <row r="18" spans="1:10" ht="14.5" x14ac:dyDescent="0.35">
      <c r="A18" s="169">
        <v>8</v>
      </c>
      <c r="B18" s="169">
        <f t="shared" si="1"/>
        <v>2022</v>
      </c>
      <c r="C18" s="325">
        <v>0</v>
      </c>
      <c r="D18" s="325">
        <v>0</v>
      </c>
      <c r="E18" s="325">
        <f t="shared" si="5"/>
        <v>19969.5</v>
      </c>
      <c r="F18" s="325">
        <f>'Short Term ETS Labor 2019'!$B$28</f>
        <v>128574.85250000001</v>
      </c>
      <c r="G18" s="572">
        <v>25698487.917870492</v>
      </c>
      <c r="H18" s="325">
        <f t="shared" si="6"/>
        <v>1148577.2879091927</v>
      </c>
      <c r="I18" s="325">
        <f t="shared" si="4"/>
        <v>1297121.6404091928</v>
      </c>
      <c r="J18" s="1"/>
    </row>
    <row r="19" spans="1:10" ht="14.5" x14ac:dyDescent="0.35">
      <c r="A19" s="169">
        <v>9</v>
      </c>
      <c r="B19" s="169">
        <f t="shared" si="1"/>
        <v>2023</v>
      </c>
      <c r="C19" s="325">
        <v>0</v>
      </c>
      <c r="D19" s="325">
        <v>0</v>
      </c>
      <c r="E19" s="325">
        <f t="shared" si="5"/>
        <v>19969.5</v>
      </c>
      <c r="F19" s="325">
        <f>'Short Term ETS Labor 2019'!$B$28</f>
        <v>128574.85250000001</v>
      </c>
      <c r="G19" s="572">
        <v>19728025.009258077</v>
      </c>
      <c r="H19" s="325">
        <f t="shared" si="6"/>
        <v>881731.31171586923</v>
      </c>
      <c r="I19" s="325">
        <f t="shared" si="4"/>
        <v>1030275.6642158693</v>
      </c>
      <c r="J19" s="1"/>
    </row>
    <row r="20" spans="1:10" ht="14.5" x14ac:dyDescent="0.35">
      <c r="A20" s="169">
        <v>10</v>
      </c>
      <c r="B20" s="169">
        <f t="shared" si="1"/>
        <v>2024</v>
      </c>
      <c r="C20" s="325">
        <v>0</v>
      </c>
      <c r="D20" s="325">
        <v>0</v>
      </c>
      <c r="E20" s="325">
        <v>0</v>
      </c>
      <c r="F20" s="325">
        <v>0</v>
      </c>
      <c r="G20" s="524">
        <v>0</v>
      </c>
      <c r="H20" s="325">
        <v>0</v>
      </c>
      <c r="I20" s="325">
        <v>0</v>
      </c>
      <c r="J20" s="1"/>
    </row>
    <row r="21" spans="1:10" ht="14.5" x14ac:dyDescent="0.35">
      <c r="A21" s="169">
        <v>11</v>
      </c>
      <c r="B21" s="169">
        <f t="shared" si="1"/>
        <v>2025</v>
      </c>
      <c r="C21" s="325">
        <v>0</v>
      </c>
      <c r="D21" s="325">
        <v>0</v>
      </c>
      <c r="E21" s="325">
        <v>0</v>
      </c>
      <c r="F21" s="325">
        <v>0</v>
      </c>
      <c r="G21" s="524">
        <v>0</v>
      </c>
      <c r="H21" s="325">
        <v>0</v>
      </c>
      <c r="I21" s="325">
        <v>0</v>
      </c>
      <c r="J21" s="1"/>
    </row>
    <row r="22" spans="1:10" ht="14.5" x14ac:dyDescent="0.35">
      <c r="A22" s="169">
        <v>12</v>
      </c>
      <c r="B22" s="169">
        <f t="shared" si="1"/>
        <v>2026</v>
      </c>
      <c r="C22" s="325">
        <v>0</v>
      </c>
      <c r="D22" s="325">
        <v>0</v>
      </c>
      <c r="E22" s="325">
        <v>0</v>
      </c>
      <c r="F22" s="325">
        <v>0</v>
      </c>
      <c r="G22" s="524">
        <v>0</v>
      </c>
      <c r="H22" s="325">
        <v>0</v>
      </c>
      <c r="I22" s="325">
        <v>0</v>
      </c>
      <c r="J22" s="1"/>
    </row>
    <row r="23" spans="1:10" ht="14.5" x14ac:dyDescent="0.35">
      <c r="A23" s="169">
        <v>13</v>
      </c>
      <c r="B23" s="169">
        <f t="shared" si="1"/>
        <v>2027</v>
      </c>
      <c r="C23" s="325">
        <v>0</v>
      </c>
      <c r="D23" s="325">
        <v>0</v>
      </c>
      <c r="E23" s="325">
        <v>0</v>
      </c>
      <c r="F23" s="325">
        <v>0</v>
      </c>
      <c r="G23" s="524">
        <v>0</v>
      </c>
      <c r="H23" s="325">
        <v>0</v>
      </c>
      <c r="I23" s="325">
        <v>0</v>
      </c>
      <c r="J23" s="1"/>
    </row>
    <row r="24" spans="1:10" ht="14.5" x14ac:dyDescent="0.35">
      <c r="A24" s="169">
        <v>14</v>
      </c>
      <c r="B24" s="169">
        <f t="shared" si="1"/>
        <v>2028</v>
      </c>
      <c r="C24" s="325">
        <v>0</v>
      </c>
      <c r="D24" s="325">
        <v>0</v>
      </c>
      <c r="E24" s="325">
        <v>0</v>
      </c>
      <c r="F24" s="325">
        <v>0</v>
      </c>
      <c r="G24" s="524">
        <v>0</v>
      </c>
      <c r="H24" s="325">
        <v>0</v>
      </c>
      <c r="I24" s="325">
        <v>0</v>
      </c>
      <c r="J24" s="7"/>
    </row>
    <row r="25" spans="1:10" ht="14.5" x14ac:dyDescent="0.35">
      <c r="A25" s="169">
        <v>15</v>
      </c>
      <c r="B25" s="169">
        <f t="shared" si="1"/>
        <v>2029</v>
      </c>
      <c r="C25" s="325">
        <v>0</v>
      </c>
      <c r="D25" s="325">
        <v>0</v>
      </c>
      <c r="E25" s="325">
        <v>0</v>
      </c>
      <c r="F25" s="540">
        <v>0</v>
      </c>
      <c r="G25" s="524">
        <v>0</v>
      </c>
      <c r="H25" s="540">
        <f t="shared" ref="H25:H80" si="7">G25*0.04</f>
        <v>0</v>
      </c>
      <c r="I25" s="325">
        <f t="shared" si="4"/>
        <v>0</v>
      </c>
      <c r="J25" s="1"/>
    </row>
    <row r="26" spans="1:10" ht="14.5" x14ac:dyDescent="0.35">
      <c r="A26" s="169">
        <v>16</v>
      </c>
      <c r="B26" s="169">
        <f t="shared" si="1"/>
        <v>2030</v>
      </c>
      <c r="C26" s="325">
        <v>0</v>
      </c>
      <c r="D26" s="325">
        <v>0</v>
      </c>
      <c r="E26" s="325">
        <v>0</v>
      </c>
      <c r="F26" s="540">
        <v>0</v>
      </c>
      <c r="G26" s="524">
        <v>0</v>
      </c>
      <c r="H26" s="540">
        <f t="shared" si="7"/>
        <v>0</v>
      </c>
      <c r="I26" s="325">
        <f t="shared" si="4"/>
        <v>0</v>
      </c>
      <c r="J26" s="1"/>
    </row>
    <row r="27" spans="1:10" ht="14.5" x14ac:dyDescent="0.35">
      <c r="A27" s="169">
        <v>17</v>
      </c>
      <c r="B27" s="169">
        <f t="shared" si="1"/>
        <v>2031</v>
      </c>
      <c r="C27" s="325">
        <v>0</v>
      </c>
      <c r="D27" s="325">
        <v>0</v>
      </c>
      <c r="E27" s="325">
        <v>0</v>
      </c>
      <c r="F27" s="540">
        <v>0</v>
      </c>
      <c r="G27" s="524">
        <v>0</v>
      </c>
      <c r="H27" s="540">
        <f t="shared" si="7"/>
        <v>0</v>
      </c>
      <c r="I27" s="325">
        <f t="shared" si="4"/>
        <v>0</v>
      </c>
      <c r="J27" s="1"/>
    </row>
    <row r="28" spans="1:10" ht="14.5" x14ac:dyDescent="0.35">
      <c r="A28" s="169">
        <v>18</v>
      </c>
      <c r="B28" s="169">
        <f t="shared" si="1"/>
        <v>2032</v>
      </c>
      <c r="C28" s="325">
        <v>0</v>
      </c>
      <c r="D28" s="325">
        <v>0</v>
      </c>
      <c r="E28" s="325">
        <v>0</v>
      </c>
      <c r="F28" s="540">
        <v>0</v>
      </c>
      <c r="G28" s="524">
        <v>0</v>
      </c>
      <c r="H28" s="540">
        <f t="shared" si="7"/>
        <v>0</v>
      </c>
      <c r="I28" s="325">
        <f t="shared" si="4"/>
        <v>0</v>
      </c>
      <c r="J28" s="1"/>
    </row>
    <row r="29" spans="1:10" ht="14.5" x14ac:dyDescent="0.35">
      <c r="A29" s="169">
        <v>19</v>
      </c>
      <c r="B29" s="169">
        <f t="shared" si="1"/>
        <v>2033</v>
      </c>
      <c r="C29" s="325">
        <v>0</v>
      </c>
      <c r="D29" s="325">
        <v>0</v>
      </c>
      <c r="E29" s="325">
        <v>0</v>
      </c>
      <c r="F29" s="540">
        <v>0</v>
      </c>
      <c r="G29" s="524">
        <v>0</v>
      </c>
      <c r="H29" s="540">
        <f t="shared" si="7"/>
        <v>0</v>
      </c>
      <c r="I29" s="325">
        <f t="shared" si="4"/>
        <v>0</v>
      </c>
      <c r="J29" s="1"/>
    </row>
    <row r="30" spans="1:10" ht="14.5" x14ac:dyDescent="0.35">
      <c r="A30" s="169">
        <v>20</v>
      </c>
      <c r="B30" s="169">
        <f t="shared" si="1"/>
        <v>2034</v>
      </c>
      <c r="C30" s="325">
        <v>0</v>
      </c>
      <c r="D30" s="325">
        <v>0</v>
      </c>
      <c r="E30" s="325">
        <v>0</v>
      </c>
      <c r="F30" s="540">
        <v>0</v>
      </c>
      <c r="G30" s="524">
        <v>0</v>
      </c>
      <c r="H30" s="540">
        <f t="shared" si="7"/>
        <v>0</v>
      </c>
      <c r="I30" s="325">
        <f t="shared" si="4"/>
        <v>0</v>
      </c>
      <c r="J30" s="1"/>
    </row>
    <row r="31" spans="1:10" ht="14.5" x14ac:dyDescent="0.35">
      <c r="A31" s="169">
        <v>21</v>
      </c>
      <c r="B31" s="169">
        <f t="shared" si="1"/>
        <v>2035</v>
      </c>
      <c r="C31" s="325">
        <v>0</v>
      </c>
      <c r="D31" s="325">
        <v>0</v>
      </c>
      <c r="E31" s="325">
        <v>0</v>
      </c>
      <c r="F31" s="540">
        <v>0</v>
      </c>
      <c r="G31" s="524">
        <v>0</v>
      </c>
      <c r="H31" s="540">
        <f t="shared" si="7"/>
        <v>0</v>
      </c>
      <c r="I31" s="325">
        <f t="shared" si="4"/>
        <v>0</v>
      </c>
      <c r="J31" s="1"/>
    </row>
    <row r="32" spans="1:10" ht="14.5" x14ac:dyDescent="0.35">
      <c r="A32" s="169">
        <v>22</v>
      </c>
      <c r="B32" s="169">
        <f t="shared" si="1"/>
        <v>2036</v>
      </c>
      <c r="C32" s="325">
        <v>0</v>
      </c>
      <c r="D32" s="325">
        <v>0</v>
      </c>
      <c r="E32" s="325">
        <v>0</v>
      </c>
      <c r="F32" s="540">
        <v>0</v>
      </c>
      <c r="G32" s="524">
        <v>0</v>
      </c>
      <c r="H32" s="540">
        <f t="shared" si="7"/>
        <v>0</v>
      </c>
      <c r="I32" s="325">
        <f t="shared" si="4"/>
        <v>0</v>
      </c>
      <c r="J32" s="7"/>
    </row>
    <row r="33" spans="1:10" ht="14.5" x14ac:dyDescent="0.35">
      <c r="A33" s="169">
        <v>23</v>
      </c>
      <c r="B33" s="169">
        <f t="shared" si="1"/>
        <v>2037</v>
      </c>
      <c r="C33" s="325">
        <v>0</v>
      </c>
      <c r="D33" s="325">
        <v>0</v>
      </c>
      <c r="E33" s="325">
        <v>0</v>
      </c>
      <c r="F33" s="540">
        <v>0</v>
      </c>
      <c r="G33" s="524">
        <v>0</v>
      </c>
      <c r="H33" s="540">
        <f t="shared" si="7"/>
        <v>0</v>
      </c>
      <c r="I33" s="325">
        <f t="shared" si="4"/>
        <v>0</v>
      </c>
      <c r="J33" s="1"/>
    </row>
    <row r="34" spans="1:10" ht="14.5" x14ac:dyDescent="0.35">
      <c r="A34" s="169">
        <v>24</v>
      </c>
      <c r="B34" s="169">
        <f t="shared" si="1"/>
        <v>2038</v>
      </c>
      <c r="C34" s="325">
        <v>0</v>
      </c>
      <c r="D34" s="325">
        <v>0</v>
      </c>
      <c r="E34" s="325">
        <v>0</v>
      </c>
      <c r="F34" s="540">
        <v>0</v>
      </c>
      <c r="G34" s="524">
        <v>0</v>
      </c>
      <c r="H34" s="540">
        <f t="shared" si="7"/>
        <v>0</v>
      </c>
      <c r="I34" s="325">
        <f t="shared" si="4"/>
        <v>0</v>
      </c>
      <c r="J34" s="1"/>
    </row>
    <row r="35" spans="1:10" ht="14.5" x14ac:dyDescent="0.35">
      <c r="A35" s="169">
        <v>25</v>
      </c>
      <c r="B35" s="169">
        <f t="shared" si="1"/>
        <v>2039</v>
      </c>
      <c r="C35" s="325">
        <v>0</v>
      </c>
      <c r="D35" s="325">
        <v>0</v>
      </c>
      <c r="E35" s="325">
        <v>0</v>
      </c>
      <c r="F35" s="540">
        <v>0</v>
      </c>
      <c r="G35" s="524">
        <v>0</v>
      </c>
      <c r="H35" s="540">
        <f t="shared" si="7"/>
        <v>0</v>
      </c>
      <c r="I35" s="325">
        <f t="shared" si="4"/>
        <v>0</v>
      </c>
      <c r="J35" s="1"/>
    </row>
    <row r="36" spans="1:10" ht="14.5" x14ac:dyDescent="0.35">
      <c r="A36" s="169">
        <v>26</v>
      </c>
      <c r="B36" s="169">
        <f t="shared" si="1"/>
        <v>2040</v>
      </c>
      <c r="C36" s="325">
        <v>0</v>
      </c>
      <c r="D36" s="325">
        <v>0</v>
      </c>
      <c r="E36" s="325">
        <v>0</v>
      </c>
      <c r="F36" s="540">
        <v>0</v>
      </c>
      <c r="G36" s="524">
        <v>0</v>
      </c>
      <c r="H36" s="540">
        <f t="shared" si="7"/>
        <v>0</v>
      </c>
      <c r="I36" s="325">
        <f t="shared" si="4"/>
        <v>0</v>
      </c>
      <c r="J36" s="1"/>
    </row>
    <row r="37" spans="1:10" ht="14.5" x14ac:dyDescent="0.35">
      <c r="A37" s="169">
        <v>27</v>
      </c>
      <c r="B37" s="169">
        <f t="shared" si="1"/>
        <v>2041</v>
      </c>
      <c r="C37" s="325">
        <v>0</v>
      </c>
      <c r="D37" s="325">
        <v>0</v>
      </c>
      <c r="E37" s="325">
        <v>0</v>
      </c>
      <c r="F37" s="540">
        <v>0</v>
      </c>
      <c r="G37" s="524">
        <v>0</v>
      </c>
      <c r="H37" s="540">
        <f t="shared" si="7"/>
        <v>0</v>
      </c>
      <c r="I37" s="325">
        <f t="shared" si="4"/>
        <v>0</v>
      </c>
      <c r="J37" s="1"/>
    </row>
    <row r="38" spans="1:10" ht="14.5" x14ac:dyDescent="0.35">
      <c r="A38" s="169">
        <v>28</v>
      </c>
      <c r="B38" s="169">
        <f t="shared" si="1"/>
        <v>2042</v>
      </c>
      <c r="C38" s="325">
        <v>0</v>
      </c>
      <c r="D38" s="325">
        <v>0</v>
      </c>
      <c r="E38" s="325">
        <v>0</v>
      </c>
      <c r="F38" s="540">
        <v>0</v>
      </c>
      <c r="G38" s="524">
        <v>0</v>
      </c>
      <c r="H38" s="540">
        <f t="shared" si="7"/>
        <v>0</v>
      </c>
      <c r="I38" s="325">
        <f t="shared" si="4"/>
        <v>0</v>
      </c>
      <c r="J38" s="1"/>
    </row>
    <row r="39" spans="1:10" ht="14.5" x14ac:dyDescent="0.35">
      <c r="A39" s="169">
        <v>29</v>
      </c>
      <c r="B39" s="169">
        <f t="shared" si="1"/>
        <v>2043</v>
      </c>
      <c r="C39" s="325">
        <v>0</v>
      </c>
      <c r="D39" s="325">
        <v>0</v>
      </c>
      <c r="E39" s="325">
        <v>0</v>
      </c>
      <c r="F39" s="540">
        <v>0</v>
      </c>
      <c r="G39" s="524">
        <v>0</v>
      </c>
      <c r="H39" s="540">
        <f t="shared" si="7"/>
        <v>0</v>
      </c>
      <c r="I39" s="325">
        <f t="shared" si="4"/>
        <v>0</v>
      </c>
      <c r="J39" s="1"/>
    </row>
    <row r="40" spans="1:10" ht="14.5" x14ac:dyDescent="0.35">
      <c r="A40" s="169">
        <v>30</v>
      </c>
      <c r="B40" s="169">
        <f t="shared" si="1"/>
        <v>2044</v>
      </c>
      <c r="C40" s="325">
        <v>0</v>
      </c>
      <c r="D40" s="325">
        <v>0</v>
      </c>
      <c r="E40" s="325">
        <v>0</v>
      </c>
      <c r="F40" s="540">
        <v>0</v>
      </c>
      <c r="G40" s="524">
        <v>0</v>
      </c>
      <c r="H40" s="540">
        <f t="shared" si="7"/>
        <v>0</v>
      </c>
      <c r="I40" s="325">
        <f t="shared" si="4"/>
        <v>0</v>
      </c>
      <c r="J40" s="1"/>
    </row>
    <row r="41" spans="1:10" ht="14.5" x14ac:dyDescent="0.35">
      <c r="A41" s="169">
        <v>31</v>
      </c>
      <c r="B41" s="169">
        <f t="shared" si="1"/>
        <v>2045</v>
      </c>
      <c r="C41" s="325">
        <v>0</v>
      </c>
      <c r="D41" s="325">
        <v>0</v>
      </c>
      <c r="E41" s="325">
        <v>0</v>
      </c>
      <c r="F41" s="540">
        <v>0</v>
      </c>
      <c r="G41" s="524">
        <v>0</v>
      </c>
      <c r="H41" s="540">
        <f t="shared" si="7"/>
        <v>0</v>
      </c>
      <c r="I41" s="325">
        <f t="shared" si="4"/>
        <v>0</v>
      </c>
      <c r="J41" s="1"/>
    </row>
    <row r="42" spans="1:10" ht="14.5" x14ac:dyDescent="0.35">
      <c r="A42" s="169">
        <v>32</v>
      </c>
      <c r="B42" s="169">
        <f t="shared" si="1"/>
        <v>2046</v>
      </c>
      <c r="C42" s="325">
        <v>0</v>
      </c>
      <c r="D42" s="325">
        <v>0</v>
      </c>
      <c r="E42" s="325">
        <v>0</v>
      </c>
      <c r="F42" s="540">
        <v>0</v>
      </c>
      <c r="G42" s="524">
        <v>0</v>
      </c>
      <c r="H42" s="540">
        <f t="shared" si="7"/>
        <v>0</v>
      </c>
      <c r="I42" s="325">
        <f t="shared" si="4"/>
        <v>0</v>
      </c>
      <c r="J42" s="1"/>
    </row>
    <row r="43" spans="1:10" ht="14.5" x14ac:dyDescent="0.35">
      <c r="A43" s="169">
        <v>33</v>
      </c>
      <c r="B43" s="169">
        <f t="shared" si="1"/>
        <v>2047</v>
      </c>
      <c r="C43" s="325">
        <v>0</v>
      </c>
      <c r="D43" s="325">
        <v>0</v>
      </c>
      <c r="E43" s="325">
        <v>0</v>
      </c>
      <c r="F43" s="540">
        <v>0</v>
      </c>
      <c r="G43" s="524">
        <v>0</v>
      </c>
      <c r="H43" s="540">
        <f t="shared" si="7"/>
        <v>0</v>
      </c>
      <c r="I43" s="325">
        <f t="shared" si="4"/>
        <v>0</v>
      </c>
      <c r="J43" s="1"/>
    </row>
    <row r="44" spans="1:10" ht="14.5" x14ac:dyDescent="0.35">
      <c r="A44" s="169">
        <v>34</v>
      </c>
      <c r="B44" s="169">
        <f t="shared" si="1"/>
        <v>2048</v>
      </c>
      <c r="C44" s="325">
        <v>0</v>
      </c>
      <c r="D44" s="325">
        <v>0</v>
      </c>
      <c r="E44" s="325">
        <v>0</v>
      </c>
      <c r="F44" s="540">
        <v>0</v>
      </c>
      <c r="G44" s="524">
        <v>0</v>
      </c>
      <c r="H44" s="540">
        <f t="shared" si="7"/>
        <v>0</v>
      </c>
      <c r="I44" s="325">
        <f t="shared" si="4"/>
        <v>0</v>
      </c>
      <c r="J44" s="1"/>
    </row>
    <row r="45" spans="1:10" ht="14.5" x14ac:dyDescent="0.35">
      <c r="A45" s="169">
        <v>35</v>
      </c>
      <c r="B45" s="169">
        <f t="shared" si="1"/>
        <v>2049</v>
      </c>
      <c r="C45" s="325">
        <v>0</v>
      </c>
      <c r="D45" s="325">
        <v>0</v>
      </c>
      <c r="E45" s="325">
        <v>0</v>
      </c>
      <c r="F45" s="540">
        <v>0</v>
      </c>
      <c r="G45" s="524">
        <v>0</v>
      </c>
      <c r="H45" s="540">
        <f t="shared" si="7"/>
        <v>0</v>
      </c>
      <c r="I45" s="325">
        <f t="shared" si="4"/>
        <v>0</v>
      </c>
      <c r="J45" s="1"/>
    </row>
    <row r="46" spans="1:10" ht="14.5" x14ac:dyDescent="0.35">
      <c r="A46" s="169">
        <v>36</v>
      </c>
      <c r="B46" s="169">
        <f t="shared" si="1"/>
        <v>2050</v>
      </c>
      <c r="C46" s="325">
        <v>0</v>
      </c>
      <c r="D46" s="325">
        <v>0</v>
      </c>
      <c r="E46" s="325">
        <v>0</v>
      </c>
      <c r="F46" s="540">
        <v>0</v>
      </c>
      <c r="G46" s="524">
        <v>0</v>
      </c>
      <c r="H46" s="540">
        <f t="shared" si="7"/>
        <v>0</v>
      </c>
      <c r="I46" s="325">
        <f t="shared" si="4"/>
        <v>0</v>
      </c>
      <c r="J46" s="1"/>
    </row>
    <row r="47" spans="1:10" ht="14.5" x14ac:dyDescent="0.35">
      <c r="A47" s="169">
        <v>37</v>
      </c>
      <c r="B47" s="169">
        <f t="shared" si="1"/>
        <v>2051</v>
      </c>
      <c r="C47" s="325">
        <v>0</v>
      </c>
      <c r="D47" s="325">
        <v>0</v>
      </c>
      <c r="E47" s="325">
        <v>0</v>
      </c>
      <c r="F47" s="540">
        <v>0</v>
      </c>
      <c r="G47" s="524">
        <v>0</v>
      </c>
      <c r="H47" s="540">
        <f t="shared" si="7"/>
        <v>0</v>
      </c>
      <c r="I47" s="325">
        <f t="shared" si="4"/>
        <v>0</v>
      </c>
      <c r="J47" s="1"/>
    </row>
    <row r="48" spans="1:10" ht="14.5" x14ac:dyDescent="0.35">
      <c r="A48" s="169">
        <v>38</v>
      </c>
      <c r="B48" s="169">
        <f t="shared" si="1"/>
        <v>2052</v>
      </c>
      <c r="C48" s="325">
        <v>0</v>
      </c>
      <c r="D48" s="325">
        <v>0</v>
      </c>
      <c r="E48" s="325">
        <v>0</v>
      </c>
      <c r="F48" s="540">
        <v>0</v>
      </c>
      <c r="G48" s="524">
        <v>0</v>
      </c>
      <c r="H48" s="540">
        <f t="shared" si="7"/>
        <v>0</v>
      </c>
      <c r="I48" s="325">
        <f t="shared" si="4"/>
        <v>0</v>
      </c>
      <c r="J48" s="1"/>
    </row>
    <row r="49" spans="1:10" ht="14.5" x14ac:dyDescent="0.35">
      <c r="A49" s="169">
        <v>39</v>
      </c>
      <c r="B49" s="169">
        <f t="shared" si="1"/>
        <v>2053</v>
      </c>
      <c r="C49" s="325">
        <v>0</v>
      </c>
      <c r="D49" s="325">
        <v>0</v>
      </c>
      <c r="E49" s="325">
        <v>0</v>
      </c>
      <c r="F49" s="540">
        <v>0</v>
      </c>
      <c r="G49" s="524">
        <v>0</v>
      </c>
      <c r="H49" s="540">
        <f t="shared" si="7"/>
        <v>0</v>
      </c>
      <c r="I49" s="325">
        <f t="shared" si="4"/>
        <v>0</v>
      </c>
      <c r="J49" s="1"/>
    </row>
    <row r="50" spans="1:10" ht="14.5" x14ac:dyDescent="0.35">
      <c r="A50" s="169">
        <v>40</v>
      </c>
      <c r="B50" s="169">
        <f t="shared" si="1"/>
        <v>2054</v>
      </c>
      <c r="C50" s="325">
        <v>0</v>
      </c>
      <c r="D50" s="325">
        <v>0</v>
      </c>
      <c r="E50" s="325">
        <v>0</v>
      </c>
      <c r="F50" s="540">
        <v>0</v>
      </c>
      <c r="G50" s="524">
        <v>0</v>
      </c>
      <c r="H50" s="540">
        <f t="shared" si="7"/>
        <v>0</v>
      </c>
      <c r="I50" s="325">
        <f t="shared" si="4"/>
        <v>0</v>
      </c>
      <c r="J50" s="1"/>
    </row>
    <row r="51" spans="1:10" ht="14.5" x14ac:dyDescent="0.35">
      <c r="A51" s="169">
        <v>41</v>
      </c>
      <c r="B51" s="169">
        <f t="shared" si="1"/>
        <v>2055</v>
      </c>
      <c r="C51" s="325">
        <v>0</v>
      </c>
      <c r="D51" s="325">
        <v>0</v>
      </c>
      <c r="E51" s="325">
        <v>0</v>
      </c>
      <c r="F51" s="540">
        <v>0</v>
      </c>
      <c r="G51" s="524">
        <v>0</v>
      </c>
      <c r="H51" s="540">
        <f t="shared" si="7"/>
        <v>0</v>
      </c>
      <c r="I51" s="325">
        <f t="shared" si="4"/>
        <v>0</v>
      </c>
      <c r="J51" s="1"/>
    </row>
    <row r="52" spans="1:10" ht="14.5" x14ac:dyDescent="0.35">
      <c r="A52" s="169">
        <v>42</v>
      </c>
      <c r="B52" s="169">
        <f t="shared" si="1"/>
        <v>2056</v>
      </c>
      <c r="C52" s="325">
        <v>0</v>
      </c>
      <c r="D52" s="325">
        <v>0</v>
      </c>
      <c r="E52" s="325">
        <v>0</v>
      </c>
      <c r="F52" s="540">
        <v>0</v>
      </c>
      <c r="G52" s="524">
        <v>0</v>
      </c>
      <c r="H52" s="540">
        <f t="shared" si="7"/>
        <v>0</v>
      </c>
      <c r="I52" s="325">
        <f t="shared" si="4"/>
        <v>0</v>
      </c>
      <c r="J52" s="1"/>
    </row>
    <row r="53" spans="1:10" ht="14.5" x14ac:dyDescent="0.35">
      <c r="A53" s="169">
        <v>43</v>
      </c>
      <c r="B53" s="169">
        <f t="shared" si="1"/>
        <v>2057</v>
      </c>
      <c r="C53" s="325">
        <v>0</v>
      </c>
      <c r="D53" s="325">
        <v>0</v>
      </c>
      <c r="E53" s="325">
        <v>0</v>
      </c>
      <c r="F53" s="540">
        <v>0</v>
      </c>
      <c r="G53" s="524">
        <v>0</v>
      </c>
      <c r="H53" s="540">
        <f t="shared" si="7"/>
        <v>0</v>
      </c>
      <c r="I53" s="325">
        <f t="shared" si="4"/>
        <v>0</v>
      </c>
      <c r="J53" s="1"/>
    </row>
    <row r="54" spans="1:10" ht="14.5" x14ac:dyDescent="0.35">
      <c r="A54" s="169">
        <v>44</v>
      </c>
      <c r="B54" s="169">
        <f t="shared" si="1"/>
        <v>2058</v>
      </c>
      <c r="C54" s="325">
        <v>0</v>
      </c>
      <c r="D54" s="325">
        <v>0</v>
      </c>
      <c r="E54" s="325">
        <v>0</v>
      </c>
      <c r="F54" s="540">
        <v>0</v>
      </c>
      <c r="G54" s="524">
        <v>0</v>
      </c>
      <c r="H54" s="540">
        <f t="shared" si="7"/>
        <v>0</v>
      </c>
      <c r="I54" s="325">
        <f t="shared" si="4"/>
        <v>0</v>
      </c>
      <c r="J54" s="1"/>
    </row>
    <row r="55" spans="1:10" ht="14.5" x14ac:dyDescent="0.35">
      <c r="A55" s="169">
        <v>45</v>
      </c>
      <c r="B55" s="169">
        <f t="shared" si="1"/>
        <v>2059</v>
      </c>
      <c r="C55" s="325">
        <v>0</v>
      </c>
      <c r="D55" s="325">
        <v>0</v>
      </c>
      <c r="E55" s="325">
        <v>0</v>
      </c>
      <c r="F55" s="540">
        <v>0</v>
      </c>
      <c r="G55" s="524">
        <v>0</v>
      </c>
      <c r="H55" s="540">
        <f t="shared" si="7"/>
        <v>0</v>
      </c>
      <c r="I55" s="325">
        <f t="shared" si="4"/>
        <v>0</v>
      </c>
      <c r="J55" s="1"/>
    </row>
    <row r="56" spans="1:10" ht="14.5" x14ac:dyDescent="0.35">
      <c r="A56" s="169">
        <v>46</v>
      </c>
      <c r="B56" s="169">
        <f t="shared" si="1"/>
        <v>2060</v>
      </c>
      <c r="C56" s="325">
        <v>0</v>
      </c>
      <c r="D56" s="325">
        <v>0</v>
      </c>
      <c r="E56" s="325">
        <v>0</v>
      </c>
      <c r="F56" s="540">
        <v>0</v>
      </c>
      <c r="G56" s="524">
        <v>0</v>
      </c>
      <c r="H56" s="540">
        <f t="shared" si="7"/>
        <v>0</v>
      </c>
      <c r="I56" s="325">
        <f t="shared" si="4"/>
        <v>0</v>
      </c>
      <c r="J56" s="1"/>
    </row>
    <row r="57" spans="1:10" ht="14.5" x14ac:dyDescent="0.35">
      <c r="A57" s="169">
        <v>47</v>
      </c>
      <c r="B57" s="169">
        <f t="shared" si="1"/>
        <v>2061</v>
      </c>
      <c r="C57" s="325">
        <v>0</v>
      </c>
      <c r="D57" s="325">
        <v>0</v>
      </c>
      <c r="E57" s="325">
        <v>0</v>
      </c>
      <c r="F57" s="540">
        <v>0</v>
      </c>
      <c r="G57" s="524">
        <v>0</v>
      </c>
      <c r="H57" s="540">
        <f t="shared" si="7"/>
        <v>0</v>
      </c>
      <c r="I57" s="325">
        <f t="shared" si="4"/>
        <v>0</v>
      </c>
      <c r="J57" s="1"/>
    </row>
    <row r="58" spans="1:10" ht="14.5" x14ac:dyDescent="0.35">
      <c r="A58" s="169">
        <v>48</v>
      </c>
      <c r="B58" s="169">
        <f t="shared" si="1"/>
        <v>2062</v>
      </c>
      <c r="C58" s="325">
        <v>0</v>
      </c>
      <c r="D58" s="325">
        <v>0</v>
      </c>
      <c r="E58" s="325">
        <v>0</v>
      </c>
      <c r="F58" s="540">
        <v>0</v>
      </c>
      <c r="G58" s="524">
        <v>0</v>
      </c>
      <c r="H58" s="540">
        <f t="shared" si="7"/>
        <v>0</v>
      </c>
      <c r="I58" s="325">
        <f t="shared" si="4"/>
        <v>0</v>
      </c>
      <c r="J58" s="1"/>
    </row>
    <row r="59" spans="1:10" ht="14.5" x14ac:dyDescent="0.35">
      <c r="A59" s="169">
        <v>49</v>
      </c>
      <c r="B59" s="169">
        <f t="shared" si="1"/>
        <v>2063</v>
      </c>
      <c r="C59" s="325">
        <v>0</v>
      </c>
      <c r="D59" s="325">
        <v>0</v>
      </c>
      <c r="E59" s="325">
        <v>0</v>
      </c>
      <c r="F59" s="540">
        <v>0</v>
      </c>
      <c r="G59" s="524">
        <v>0</v>
      </c>
      <c r="H59" s="540">
        <f t="shared" si="7"/>
        <v>0</v>
      </c>
      <c r="I59" s="325">
        <f t="shared" si="4"/>
        <v>0</v>
      </c>
      <c r="J59" s="1"/>
    </row>
    <row r="60" spans="1:10" ht="14.5" x14ac:dyDescent="0.35">
      <c r="A60" s="169">
        <v>50</v>
      </c>
      <c r="B60" s="169">
        <f t="shared" si="1"/>
        <v>2064</v>
      </c>
      <c r="C60" s="325">
        <v>0</v>
      </c>
      <c r="D60" s="325">
        <v>0</v>
      </c>
      <c r="E60" s="325">
        <v>0</v>
      </c>
      <c r="F60" s="540">
        <v>0</v>
      </c>
      <c r="G60" s="524">
        <v>0</v>
      </c>
      <c r="H60" s="540">
        <f t="shared" si="7"/>
        <v>0</v>
      </c>
      <c r="I60" s="325">
        <f t="shared" si="4"/>
        <v>0</v>
      </c>
      <c r="J60" s="7"/>
    </row>
    <row r="61" spans="1:10" ht="14.5" x14ac:dyDescent="0.35">
      <c r="A61" s="169">
        <v>51</v>
      </c>
      <c r="B61" s="169">
        <f t="shared" si="1"/>
        <v>2065</v>
      </c>
      <c r="C61" s="325">
        <v>0</v>
      </c>
      <c r="D61" s="325">
        <v>0</v>
      </c>
      <c r="E61" s="325">
        <v>0</v>
      </c>
      <c r="F61" s="540">
        <v>0</v>
      </c>
      <c r="G61" s="524">
        <v>0</v>
      </c>
      <c r="H61" s="540">
        <f t="shared" si="7"/>
        <v>0</v>
      </c>
      <c r="I61" s="325">
        <f t="shared" si="4"/>
        <v>0</v>
      </c>
      <c r="J61" s="1"/>
    </row>
    <row r="62" spans="1:10" ht="14.5" x14ac:dyDescent="0.35">
      <c r="A62" s="169">
        <v>52</v>
      </c>
      <c r="B62" s="169">
        <f t="shared" si="1"/>
        <v>2066</v>
      </c>
      <c r="C62" s="325">
        <v>0</v>
      </c>
      <c r="D62" s="325">
        <v>0</v>
      </c>
      <c r="E62" s="325">
        <v>0</v>
      </c>
      <c r="F62" s="540">
        <v>0</v>
      </c>
      <c r="G62" s="524">
        <v>0</v>
      </c>
      <c r="H62" s="540">
        <f t="shared" si="7"/>
        <v>0</v>
      </c>
      <c r="I62" s="325">
        <f t="shared" si="4"/>
        <v>0</v>
      </c>
      <c r="J62" s="1"/>
    </row>
    <row r="63" spans="1:10" ht="14.5" x14ac:dyDescent="0.35">
      <c r="A63" s="169">
        <v>53</v>
      </c>
      <c r="B63" s="169">
        <f t="shared" si="1"/>
        <v>2067</v>
      </c>
      <c r="C63" s="325">
        <v>0</v>
      </c>
      <c r="D63" s="325">
        <v>0</v>
      </c>
      <c r="E63" s="325">
        <v>0</v>
      </c>
      <c r="F63" s="540">
        <v>0</v>
      </c>
      <c r="G63" s="524">
        <v>0</v>
      </c>
      <c r="H63" s="540">
        <f t="shared" si="7"/>
        <v>0</v>
      </c>
      <c r="I63" s="325">
        <f t="shared" si="4"/>
        <v>0</v>
      </c>
      <c r="J63" s="1"/>
    </row>
    <row r="64" spans="1:10" ht="14.5" x14ac:dyDescent="0.35">
      <c r="A64" s="169">
        <v>54</v>
      </c>
      <c r="B64" s="169">
        <f t="shared" si="1"/>
        <v>2068</v>
      </c>
      <c r="C64" s="325">
        <v>0</v>
      </c>
      <c r="D64" s="325">
        <v>0</v>
      </c>
      <c r="E64" s="325">
        <v>0</v>
      </c>
      <c r="F64" s="540">
        <v>0</v>
      </c>
      <c r="G64" s="524">
        <v>0</v>
      </c>
      <c r="H64" s="540">
        <f t="shared" si="7"/>
        <v>0</v>
      </c>
      <c r="I64" s="325">
        <f t="shared" si="4"/>
        <v>0</v>
      </c>
      <c r="J64" s="1"/>
    </row>
    <row r="65" spans="1:10" ht="14.5" x14ac:dyDescent="0.35">
      <c r="A65" s="169">
        <v>55</v>
      </c>
      <c r="B65" s="169">
        <f t="shared" si="1"/>
        <v>2069</v>
      </c>
      <c r="C65" s="325">
        <v>0</v>
      </c>
      <c r="D65" s="325">
        <v>0</v>
      </c>
      <c r="E65" s="325">
        <v>0</v>
      </c>
      <c r="F65" s="540">
        <v>0</v>
      </c>
      <c r="G65" s="524">
        <v>0</v>
      </c>
      <c r="H65" s="540">
        <f t="shared" si="7"/>
        <v>0</v>
      </c>
      <c r="I65" s="325">
        <f t="shared" si="4"/>
        <v>0</v>
      </c>
      <c r="J65" s="1"/>
    </row>
    <row r="66" spans="1:10" ht="14.5" x14ac:dyDescent="0.35">
      <c r="A66" s="169">
        <v>56</v>
      </c>
      <c r="B66" s="169">
        <f t="shared" si="1"/>
        <v>2070</v>
      </c>
      <c r="C66" s="325">
        <v>0</v>
      </c>
      <c r="D66" s="325">
        <v>0</v>
      </c>
      <c r="E66" s="325">
        <v>0</v>
      </c>
      <c r="F66" s="540">
        <v>0</v>
      </c>
      <c r="G66" s="524">
        <v>0</v>
      </c>
      <c r="H66" s="540">
        <f t="shared" si="7"/>
        <v>0</v>
      </c>
      <c r="I66" s="325">
        <f t="shared" si="4"/>
        <v>0</v>
      </c>
      <c r="J66" s="1"/>
    </row>
    <row r="67" spans="1:10" ht="14.5" x14ac:dyDescent="0.35">
      <c r="A67" s="169">
        <v>57</v>
      </c>
      <c r="B67" s="169">
        <f t="shared" si="1"/>
        <v>2071</v>
      </c>
      <c r="C67" s="325">
        <v>0</v>
      </c>
      <c r="D67" s="325">
        <v>0</v>
      </c>
      <c r="E67" s="325">
        <v>0</v>
      </c>
      <c r="F67" s="540">
        <v>0</v>
      </c>
      <c r="G67" s="524">
        <v>0</v>
      </c>
      <c r="H67" s="540">
        <f t="shared" si="7"/>
        <v>0</v>
      </c>
      <c r="I67" s="325">
        <f t="shared" si="4"/>
        <v>0</v>
      </c>
      <c r="J67" s="1"/>
    </row>
    <row r="68" spans="1:10" ht="14.5" x14ac:dyDescent="0.35">
      <c r="A68" s="169">
        <v>58</v>
      </c>
      <c r="B68" s="169">
        <f t="shared" si="1"/>
        <v>2072</v>
      </c>
      <c r="C68" s="325">
        <v>0</v>
      </c>
      <c r="D68" s="325">
        <v>0</v>
      </c>
      <c r="E68" s="325">
        <v>0</v>
      </c>
      <c r="F68" s="540">
        <v>0</v>
      </c>
      <c r="G68" s="524">
        <v>0</v>
      </c>
      <c r="H68" s="540">
        <f t="shared" si="7"/>
        <v>0</v>
      </c>
      <c r="I68" s="325">
        <f t="shared" si="4"/>
        <v>0</v>
      </c>
      <c r="J68" s="1"/>
    </row>
    <row r="69" spans="1:10" ht="14.5" x14ac:dyDescent="0.35">
      <c r="A69" s="169">
        <v>59</v>
      </c>
      <c r="B69" s="169">
        <f t="shared" si="1"/>
        <v>2073</v>
      </c>
      <c r="C69" s="325">
        <v>0</v>
      </c>
      <c r="D69" s="325">
        <v>0</v>
      </c>
      <c r="E69" s="325">
        <v>0</v>
      </c>
      <c r="F69" s="540">
        <v>0</v>
      </c>
      <c r="G69" s="524">
        <v>0</v>
      </c>
      <c r="H69" s="540">
        <f t="shared" si="7"/>
        <v>0</v>
      </c>
      <c r="I69" s="325">
        <f t="shared" si="4"/>
        <v>0</v>
      </c>
      <c r="J69" s="1"/>
    </row>
    <row r="70" spans="1:10" ht="14.5" x14ac:dyDescent="0.35">
      <c r="A70" s="169">
        <v>60</v>
      </c>
      <c r="B70" s="169">
        <f t="shared" si="1"/>
        <v>2074</v>
      </c>
      <c r="C70" s="325">
        <v>0</v>
      </c>
      <c r="D70" s="325">
        <v>0</v>
      </c>
      <c r="E70" s="325">
        <v>0</v>
      </c>
      <c r="F70" s="540">
        <v>0</v>
      </c>
      <c r="G70" s="524">
        <v>0</v>
      </c>
      <c r="H70" s="540">
        <f t="shared" si="7"/>
        <v>0</v>
      </c>
      <c r="I70" s="325">
        <f t="shared" si="4"/>
        <v>0</v>
      </c>
      <c r="J70" s="1"/>
    </row>
    <row r="71" spans="1:10" ht="14.5" x14ac:dyDescent="0.35">
      <c r="A71" s="169">
        <v>61</v>
      </c>
      <c r="B71" s="169">
        <f t="shared" si="1"/>
        <v>2075</v>
      </c>
      <c r="C71" s="325">
        <v>0</v>
      </c>
      <c r="D71" s="325">
        <v>0</v>
      </c>
      <c r="E71" s="325">
        <v>0</v>
      </c>
      <c r="F71" s="540">
        <v>0</v>
      </c>
      <c r="G71" s="524">
        <v>0</v>
      </c>
      <c r="H71" s="540">
        <f t="shared" si="7"/>
        <v>0</v>
      </c>
      <c r="I71" s="325">
        <f t="shared" si="4"/>
        <v>0</v>
      </c>
      <c r="J71" s="1"/>
    </row>
    <row r="72" spans="1:10" ht="14.5" x14ac:dyDescent="0.35">
      <c r="A72" s="169">
        <v>62</v>
      </c>
      <c r="B72" s="169">
        <f t="shared" si="1"/>
        <v>2076</v>
      </c>
      <c r="C72" s="325">
        <v>0</v>
      </c>
      <c r="D72" s="325">
        <v>0</v>
      </c>
      <c r="E72" s="325">
        <v>0</v>
      </c>
      <c r="F72" s="540">
        <v>0</v>
      </c>
      <c r="G72" s="524">
        <v>0</v>
      </c>
      <c r="H72" s="540">
        <f t="shared" si="7"/>
        <v>0</v>
      </c>
      <c r="I72" s="325">
        <f t="shared" si="4"/>
        <v>0</v>
      </c>
      <c r="J72" s="1"/>
    </row>
    <row r="73" spans="1:10" ht="14.5" x14ac:dyDescent="0.35">
      <c r="A73" s="169">
        <v>63</v>
      </c>
      <c r="B73" s="169">
        <f t="shared" si="1"/>
        <v>2077</v>
      </c>
      <c r="C73" s="325">
        <v>0</v>
      </c>
      <c r="D73" s="325">
        <v>0</v>
      </c>
      <c r="E73" s="325">
        <v>0</v>
      </c>
      <c r="F73" s="540">
        <v>0</v>
      </c>
      <c r="G73" s="524">
        <v>0</v>
      </c>
      <c r="H73" s="540">
        <f t="shared" si="7"/>
        <v>0</v>
      </c>
      <c r="I73" s="325">
        <f t="shared" si="4"/>
        <v>0</v>
      </c>
      <c r="J73" s="1"/>
    </row>
    <row r="74" spans="1:10" ht="14.5" x14ac:dyDescent="0.35">
      <c r="A74" s="169">
        <v>64</v>
      </c>
      <c r="B74" s="169">
        <f t="shared" si="1"/>
        <v>2078</v>
      </c>
      <c r="C74" s="325">
        <v>0</v>
      </c>
      <c r="D74" s="325">
        <v>0</v>
      </c>
      <c r="E74" s="325">
        <v>0</v>
      </c>
      <c r="F74" s="540">
        <v>0</v>
      </c>
      <c r="G74" s="524">
        <v>0</v>
      </c>
      <c r="H74" s="540">
        <f t="shared" si="7"/>
        <v>0</v>
      </c>
      <c r="I74" s="325">
        <f t="shared" si="4"/>
        <v>0</v>
      </c>
      <c r="J74" s="1"/>
    </row>
    <row r="75" spans="1:10" ht="14.5" x14ac:dyDescent="0.35">
      <c r="A75" s="169">
        <v>65</v>
      </c>
      <c r="B75" s="169">
        <f t="shared" si="1"/>
        <v>2079</v>
      </c>
      <c r="C75" s="325">
        <v>0</v>
      </c>
      <c r="D75" s="325">
        <v>0</v>
      </c>
      <c r="E75" s="325">
        <v>0</v>
      </c>
      <c r="F75" s="540">
        <v>0</v>
      </c>
      <c r="G75" s="524">
        <v>0</v>
      </c>
      <c r="H75" s="540">
        <f t="shared" si="7"/>
        <v>0</v>
      </c>
      <c r="I75" s="325">
        <f t="shared" ref="I75:I110" si="8">SUM(C75:F75,H75)</f>
        <v>0</v>
      </c>
      <c r="J75" s="1"/>
    </row>
    <row r="76" spans="1:10" ht="14.5" x14ac:dyDescent="0.35">
      <c r="A76" s="169">
        <v>66</v>
      </c>
      <c r="B76" s="169">
        <f t="shared" ref="B76:B110" si="9">+B75+1</f>
        <v>2080</v>
      </c>
      <c r="C76" s="325">
        <v>0</v>
      </c>
      <c r="D76" s="325">
        <v>0</v>
      </c>
      <c r="E76" s="325">
        <v>0</v>
      </c>
      <c r="F76" s="540">
        <v>0</v>
      </c>
      <c r="G76" s="524">
        <v>0</v>
      </c>
      <c r="H76" s="540">
        <f t="shared" si="7"/>
        <v>0</v>
      </c>
      <c r="I76" s="325">
        <f t="shared" si="8"/>
        <v>0</v>
      </c>
      <c r="J76" s="1"/>
    </row>
    <row r="77" spans="1:10" ht="14.5" x14ac:dyDescent="0.35">
      <c r="A77" s="169">
        <v>67</v>
      </c>
      <c r="B77" s="169">
        <f t="shared" si="9"/>
        <v>2081</v>
      </c>
      <c r="C77" s="325">
        <v>0</v>
      </c>
      <c r="D77" s="325">
        <v>0</v>
      </c>
      <c r="E77" s="325">
        <v>0</v>
      </c>
      <c r="F77" s="540">
        <v>0</v>
      </c>
      <c r="G77" s="524">
        <v>0</v>
      </c>
      <c r="H77" s="540">
        <f t="shared" si="7"/>
        <v>0</v>
      </c>
      <c r="I77" s="325">
        <f t="shared" si="8"/>
        <v>0</v>
      </c>
      <c r="J77" s="1"/>
    </row>
    <row r="78" spans="1:10" ht="14.5" x14ac:dyDescent="0.35">
      <c r="A78" s="169">
        <v>68</v>
      </c>
      <c r="B78" s="169">
        <f t="shared" si="9"/>
        <v>2082</v>
      </c>
      <c r="C78" s="325">
        <v>0</v>
      </c>
      <c r="D78" s="325">
        <v>0</v>
      </c>
      <c r="E78" s="325">
        <v>0</v>
      </c>
      <c r="F78" s="540">
        <v>0</v>
      </c>
      <c r="G78" s="524">
        <v>0</v>
      </c>
      <c r="H78" s="540">
        <f t="shared" si="7"/>
        <v>0</v>
      </c>
      <c r="I78" s="325">
        <f t="shared" si="8"/>
        <v>0</v>
      </c>
      <c r="J78" s="1"/>
    </row>
    <row r="79" spans="1:10" ht="14.5" x14ac:dyDescent="0.35">
      <c r="A79" s="169">
        <v>69</v>
      </c>
      <c r="B79" s="169">
        <f t="shared" si="9"/>
        <v>2083</v>
      </c>
      <c r="C79" s="325">
        <v>0</v>
      </c>
      <c r="D79" s="325">
        <v>0</v>
      </c>
      <c r="E79" s="325">
        <v>0</v>
      </c>
      <c r="F79" s="540">
        <v>0</v>
      </c>
      <c r="G79" s="524">
        <v>0</v>
      </c>
      <c r="H79" s="540">
        <f t="shared" si="7"/>
        <v>0</v>
      </c>
      <c r="I79" s="325">
        <f t="shared" si="8"/>
        <v>0</v>
      </c>
      <c r="J79" s="1"/>
    </row>
    <row r="80" spans="1:10" ht="14.5" x14ac:dyDescent="0.35">
      <c r="A80" s="169">
        <v>70</v>
      </c>
      <c r="B80" s="169">
        <f t="shared" si="9"/>
        <v>2084</v>
      </c>
      <c r="C80" s="325">
        <v>0</v>
      </c>
      <c r="D80" s="325">
        <v>0</v>
      </c>
      <c r="E80" s="325">
        <v>0</v>
      </c>
      <c r="F80" s="540">
        <v>0</v>
      </c>
      <c r="G80" s="524">
        <v>0</v>
      </c>
      <c r="H80" s="540">
        <f t="shared" si="7"/>
        <v>0</v>
      </c>
      <c r="I80" s="325">
        <f t="shared" si="8"/>
        <v>0</v>
      </c>
      <c r="J80" s="1"/>
    </row>
    <row r="81" spans="1:10" ht="14.5" x14ac:dyDescent="0.35">
      <c r="A81" s="169">
        <v>71</v>
      </c>
      <c r="B81" s="169">
        <f t="shared" si="9"/>
        <v>2085</v>
      </c>
      <c r="C81" s="325">
        <v>0</v>
      </c>
      <c r="D81" s="325">
        <v>0</v>
      </c>
      <c r="E81" s="325">
        <v>0</v>
      </c>
      <c r="F81" s="540">
        <v>0</v>
      </c>
      <c r="G81" s="524">
        <v>0</v>
      </c>
      <c r="H81" s="540">
        <f t="shared" ref="H81:H110" si="10">G81*0.04</f>
        <v>0</v>
      </c>
      <c r="I81" s="325">
        <f t="shared" si="8"/>
        <v>0</v>
      </c>
      <c r="J81" s="1"/>
    </row>
    <row r="82" spans="1:10" ht="14.5" x14ac:dyDescent="0.35">
      <c r="A82" s="169">
        <v>72</v>
      </c>
      <c r="B82" s="169">
        <f t="shared" si="9"/>
        <v>2086</v>
      </c>
      <c r="C82" s="325">
        <v>0</v>
      </c>
      <c r="D82" s="325">
        <v>0</v>
      </c>
      <c r="E82" s="325">
        <v>0</v>
      </c>
      <c r="F82" s="540">
        <v>0</v>
      </c>
      <c r="G82" s="524">
        <v>0</v>
      </c>
      <c r="H82" s="540">
        <f t="shared" si="10"/>
        <v>0</v>
      </c>
      <c r="I82" s="325">
        <f t="shared" si="8"/>
        <v>0</v>
      </c>
      <c r="J82" s="1"/>
    </row>
    <row r="83" spans="1:10" ht="14.5" x14ac:dyDescent="0.35">
      <c r="A83" s="169">
        <v>73</v>
      </c>
      <c r="B83" s="169">
        <f t="shared" si="9"/>
        <v>2087</v>
      </c>
      <c r="C83" s="325">
        <v>0</v>
      </c>
      <c r="D83" s="325">
        <v>0</v>
      </c>
      <c r="E83" s="325">
        <v>0</v>
      </c>
      <c r="F83" s="541">
        <v>0</v>
      </c>
      <c r="G83" s="326">
        <v>0</v>
      </c>
      <c r="H83" s="541">
        <f t="shared" si="10"/>
        <v>0</v>
      </c>
      <c r="I83" s="325">
        <f t="shared" si="8"/>
        <v>0</v>
      </c>
      <c r="J83" s="1"/>
    </row>
    <row r="84" spans="1:10" ht="14.5" x14ac:dyDescent="0.35">
      <c r="A84" s="169">
        <v>74</v>
      </c>
      <c r="B84" s="169">
        <f t="shared" si="9"/>
        <v>2088</v>
      </c>
      <c r="C84" s="325">
        <v>0</v>
      </c>
      <c r="D84" s="325">
        <v>0</v>
      </c>
      <c r="E84" s="325">
        <v>0</v>
      </c>
      <c r="F84" s="541">
        <v>0</v>
      </c>
      <c r="G84" s="326">
        <v>0</v>
      </c>
      <c r="H84" s="541">
        <f t="shared" si="10"/>
        <v>0</v>
      </c>
      <c r="I84" s="325">
        <f t="shared" si="8"/>
        <v>0</v>
      </c>
      <c r="J84" s="1"/>
    </row>
    <row r="85" spans="1:10" ht="14.5" x14ac:dyDescent="0.35">
      <c r="A85" s="169">
        <v>75</v>
      </c>
      <c r="B85" s="169">
        <f t="shared" si="9"/>
        <v>2089</v>
      </c>
      <c r="C85" s="325">
        <v>0</v>
      </c>
      <c r="D85" s="325">
        <v>0</v>
      </c>
      <c r="E85" s="325">
        <v>0</v>
      </c>
      <c r="F85" s="540">
        <v>0</v>
      </c>
      <c r="G85" s="524">
        <v>0</v>
      </c>
      <c r="H85" s="540">
        <f t="shared" si="10"/>
        <v>0</v>
      </c>
      <c r="I85" s="325">
        <f t="shared" si="8"/>
        <v>0</v>
      </c>
      <c r="J85" s="1"/>
    </row>
    <row r="86" spans="1:10" ht="14.5" x14ac:dyDescent="0.35">
      <c r="A86" s="169">
        <v>76</v>
      </c>
      <c r="B86" s="169">
        <f t="shared" si="9"/>
        <v>2090</v>
      </c>
      <c r="C86" s="325">
        <v>0</v>
      </c>
      <c r="D86" s="325">
        <v>0</v>
      </c>
      <c r="E86" s="325">
        <v>0</v>
      </c>
      <c r="F86" s="540">
        <v>0</v>
      </c>
      <c r="G86" s="524">
        <v>0</v>
      </c>
      <c r="H86" s="540">
        <f t="shared" si="10"/>
        <v>0</v>
      </c>
      <c r="I86" s="325">
        <f t="shared" si="8"/>
        <v>0</v>
      </c>
      <c r="J86" s="1"/>
    </row>
    <row r="87" spans="1:10" ht="14.5" x14ac:dyDescent="0.35">
      <c r="A87" s="169">
        <v>77</v>
      </c>
      <c r="B87" s="169">
        <f t="shared" si="9"/>
        <v>2091</v>
      </c>
      <c r="C87" s="325">
        <v>0</v>
      </c>
      <c r="D87" s="325">
        <v>0</v>
      </c>
      <c r="E87" s="325">
        <v>0</v>
      </c>
      <c r="F87" s="540">
        <v>0</v>
      </c>
      <c r="G87" s="524">
        <v>0</v>
      </c>
      <c r="H87" s="540">
        <f t="shared" si="10"/>
        <v>0</v>
      </c>
      <c r="I87" s="325">
        <f t="shared" si="8"/>
        <v>0</v>
      </c>
      <c r="J87" s="1"/>
    </row>
    <row r="88" spans="1:10" ht="14.5" x14ac:dyDescent="0.35">
      <c r="A88" s="169">
        <v>78</v>
      </c>
      <c r="B88" s="169">
        <f t="shared" si="9"/>
        <v>2092</v>
      </c>
      <c r="C88" s="325">
        <v>0</v>
      </c>
      <c r="D88" s="325">
        <v>0</v>
      </c>
      <c r="E88" s="325">
        <v>0</v>
      </c>
      <c r="F88" s="540">
        <v>0</v>
      </c>
      <c r="G88" s="524">
        <v>0</v>
      </c>
      <c r="H88" s="540">
        <f t="shared" si="10"/>
        <v>0</v>
      </c>
      <c r="I88" s="325">
        <f t="shared" si="8"/>
        <v>0</v>
      </c>
      <c r="J88" s="1"/>
    </row>
    <row r="89" spans="1:10" ht="14.5" x14ac:dyDescent="0.35">
      <c r="A89" s="169">
        <v>79</v>
      </c>
      <c r="B89" s="169">
        <f t="shared" si="9"/>
        <v>2093</v>
      </c>
      <c r="C89" s="325">
        <v>0</v>
      </c>
      <c r="D89" s="325">
        <v>0</v>
      </c>
      <c r="E89" s="325">
        <v>0</v>
      </c>
      <c r="F89" s="540">
        <v>0</v>
      </c>
      <c r="G89" s="524">
        <v>0</v>
      </c>
      <c r="H89" s="540">
        <f t="shared" si="10"/>
        <v>0</v>
      </c>
      <c r="I89" s="325">
        <f t="shared" si="8"/>
        <v>0</v>
      </c>
      <c r="J89" s="1"/>
    </row>
    <row r="90" spans="1:10" ht="14.5" x14ac:dyDescent="0.35">
      <c r="A90" s="169">
        <v>80</v>
      </c>
      <c r="B90" s="169">
        <f t="shared" si="9"/>
        <v>2094</v>
      </c>
      <c r="C90" s="325">
        <v>0</v>
      </c>
      <c r="D90" s="325">
        <v>0</v>
      </c>
      <c r="E90" s="325">
        <v>0</v>
      </c>
      <c r="F90" s="540">
        <v>0</v>
      </c>
      <c r="G90" s="524">
        <v>0</v>
      </c>
      <c r="H90" s="540">
        <f t="shared" si="10"/>
        <v>0</v>
      </c>
      <c r="I90" s="325">
        <f t="shared" si="8"/>
        <v>0</v>
      </c>
      <c r="J90" s="1"/>
    </row>
    <row r="91" spans="1:10" ht="14.5" x14ac:dyDescent="0.35">
      <c r="A91" s="169">
        <v>81</v>
      </c>
      <c r="B91" s="169">
        <f t="shared" si="9"/>
        <v>2095</v>
      </c>
      <c r="C91" s="325">
        <v>0</v>
      </c>
      <c r="D91" s="325">
        <v>0</v>
      </c>
      <c r="E91" s="325">
        <v>0</v>
      </c>
      <c r="F91" s="540">
        <v>0</v>
      </c>
      <c r="G91" s="524">
        <v>0</v>
      </c>
      <c r="H91" s="540">
        <f t="shared" si="10"/>
        <v>0</v>
      </c>
      <c r="I91" s="325">
        <f t="shared" si="8"/>
        <v>0</v>
      </c>
      <c r="J91" s="1"/>
    </row>
    <row r="92" spans="1:10" ht="14.5" x14ac:dyDescent="0.35">
      <c r="A92" s="169">
        <v>82</v>
      </c>
      <c r="B92" s="169">
        <f t="shared" si="9"/>
        <v>2096</v>
      </c>
      <c r="C92" s="325">
        <v>0</v>
      </c>
      <c r="D92" s="325">
        <v>0</v>
      </c>
      <c r="E92" s="325">
        <v>0</v>
      </c>
      <c r="F92" s="540">
        <v>0</v>
      </c>
      <c r="G92" s="524">
        <v>0</v>
      </c>
      <c r="H92" s="540">
        <f t="shared" si="10"/>
        <v>0</v>
      </c>
      <c r="I92" s="325">
        <f t="shared" si="8"/>
        <v>0</v>
      </c>
      <c r="J92" s="1"/>
    </row>
    <row r="93" spans="1:10" ht="14.5" x14ac:dyDescent="0.35">
      <c r="A93" s="169">
        <v>83</v>
      </c>
      <c r="B93" s="169">
        <f t="shared" si="9"/>
        <v>2097</v>
      </c>
      <c r="C93" s="325">
        <v>0</v>
      </c>
      <c r="D93" s="325">
        <v>0</v>
      </c>
      <c r="E93" s="325">
        <v>0</v>
      </c>
      <c r="F93" s="540">
        <v>0</v>
      </c>
      <c r="G93" s="524">
        <v>0</v>
      </c>
      <c r="H93" s="540">
        <f t="shared" si="10"/>
        <v>0</v>
      </c>
      <c r="I93" s="325">
        <f t="shared" si="8"/>
        <v>0</v>
      </c>
      <c r="J93" s="1"/>
    </row>
    <row r="94" spans="1:10" ht="14.5" x14ac:dyDescent="0.35">
      <c r="A94" s="169">
        <v>84</v>
      </c>
      <c r="B94" s="169">
        <f t="shared" si="9"/>
        <v>2098</v>
      </c>
      <c r="C94" s="325">
        <v>0</v>
      </c>
      <c r="D94" s="325">
        <v>0</v>
      </c>
      <c r="E94" s="325">
        <v>0</v>
      </c>
      <c r="F94" s="540">
        <v>0</v>
      </c>
      <c r="G94" s="524">
        <v>0</v>
      </c>
      <c r="H94" s="540">
        <f t="shared" si="10"/>
        <v>0</v>
      </c>
      <c r="I94" s="325">
        <f t="shared" si="8"/>
        <v>0</v>
      </c>
      <c r="J94" s="1"/>
    </row>
    <row r="95" spans="1:10" ht="14.5" x14ac:dyDescent="0.35">
      <c r="A95" s="169">
        <v>85</v>
      </c>
      <c r="B95" s="169">
        <f t="shared" si="9"/>
        <v>2099</v>
      </c>
      <c r="C95" s="325">
        <v>0</v>
      </c>
      <c r="D95" s="325">
        <v>0</v>
      </c>
      <c r="E95" s="325">
        <v>0</v>
      </c>
      <c r="F95" s="540">
        <v>0</v>
      </c>
      <c r="G95" s="524">
        <v>0</v>
      </c>
      <c r="H95" s="540">
        <f t="shared" si="10"/>
        <v>0</v>
      </c>
      <c r="I95" s="325">
        <f t="shared" si="8"/>
        <v>0</v>
      </c>
      <c r="J95" s="1"/>
    </row>
    <row r="96" spans="1:10" ht="14.5" x14ac:dyDescent="0.35">
      <c r="A96" s="169">
        <v>86</v>
      </c>
      <c r="B96" s="169">
        <f t="shared" si="9"/>
        <v>2100</v>
      </c>
      <c r="C96" s="325">
        <v>0</v>
      </c>
      <c r="D96" s="325">
        <v>0</v>
      </c>
      <c r="E96" s="325">
        <v>0</v>
      </c>
      <c r="F96" s="540">
        <v>0</v>
      </c>
      <c r="G96" s="524">
        <v>0</v>
      </c>
      <c r="H96" s="540">
        <f t="shared" si="10"/>
        <v>0</v>
      </c>
      <c r="I96" s="325">
        <f t="shared" si="8"/>
        <v>0</v>
      </c>
      <c r="J96" s="1"/>
    </row>
    <row r="97" spans="1:10" ht="14.5" x14ac:dyDescent="0.35">
      <c r="A97" s="169">
        <v>87</v>
      </c>
      <c r="B97" s="169">
        <f t="shared" si="9"/>
        <v>2101</v>
      </c>
      <c r="C97" s="325">
        <v>0</v>
      </c>
      <c r="D97" s="325">
        <v>0</v>
      </c>
      <c r="E97" s="325">
        <v>0</v>
      </c>
      <c r="F97" s="540">
        <v>0</v>
      </c>
      <c r="G97" s="524">
        <v>0</v>
      </c>
      <c r="H97" s="540">
        <f t="shared" si="10"/>
        <v>0</v>
      </c>
      <c r="I97" s="325">
        <f t="shared" si="8"/>
        <v>0</v>
      </c>
      <c r="J97" s="1"/>
    </row>
    <row r="98" spans="1:10" ht="14.5" x14ac:dyDescent="0.35">
      <c r="A98" s="169">
        <v>88</v>
      </c>
      <c r="B98" s="169">
        <f t="shared" si="9"/>
        <v>2102</v>
      </c>
      <c r="C98" s="325">
        <v>0</v>
      </c>
      <c r="D98" s="325">
        <v>0</v>
      </c>
      <c r="E98" s="325">
        <v>0</v>
      </c>
      <c r="F98" s="540">
        <v>0</v>
      </c>
      <c r="G98" s="524">
        <v>0</v>
      </c>
      <c r="H98" s="540">
        <f t="shared" si="10"/>
        <v>0</v>
      </c>
      <c r="I98" s="325">
        <f t="shared" si="8"/>
        <v>0</v>
      </c>
      <c r="J98" s="1"/>
    </row>
    <row r="99" spans="1:10" ht="14.5" x14ac:dyDescent="0.35">
      <c r="A99" s="169">
        <v>89</v>
      </c>
      <c r="B99" s="169">
        <f t="shared" si="9"/>
        <v>2103</v>
      </c>
      <c r="C99" s="325">
        <v>0</v>
      </c>
      <c r="D99" s="325">
        <v>0</v>
      </c>
      <c r="E99" s="325">
        <v>0</v>
      </c>
      <c r="F99" s="540">
        <v>0</v>
      </c>
      <c r="G99" s="524">
        <v>0</v>
      </c>
      <c r="H99" s="540">
        <f t="shared" si="10"/>
        <v>0</v>
      </c>
      <c r="I99" s="325">
        <f t="shared" si="8"/>
        <v>0</v>
      </c>
      <c r="J99" s="1"/>
    </row>
    <row r="100" spans="1:10" ht="14.5" x14ac:dyDescent="0.35">
      <c r="A100" s="169">
        <v>90</v>
      </c>
      <c r="B100" s="169">
        <f t="shared" si="9"/>
        <v>2104</v>
      </c>
      <c r="C100" s="325">
        <v>0</v>
      </c>
      <c r="D100" s="325">
        <v>0</v>
      </c>
      <c r="E100" s="325">
        <v>0</v>
      </c>
      <c r="F100" s="540">
        <v>0</v>
      </c>
      <c r="G100" s="524">
        <v>0</v>
      </c>
      <c r="H100" s="540">
        <f t="shared" si="10"/>
        <v>0</v>
      </c>
      <c r="I100" s="325">
        <f t="shared" si="8"/>
        <v>0</v>
      </c>
      <c r="J100" s="1"/>
    </row>
    <row r="101" spans="1:10" ht="14.5" x14ac:dyDescent="0.35">
      <c r="A101" s="169">
        <v>91</v>
      </c>
      <c r="B101" s="169">
        <f t="shared" si="9"/>
        <v>2105</v>
      </c>
      <c r="C101" s="325">
        <v>0</v>
      </c>
      <c r="D101" s="325">
        <v>0</v>
      </c>
      <c r="E101" s="325">
        <v>0</v>
      </c>
      <c r="F101" s="540">
        <v>0</v>
      </c>
      <c r="G101" s="524">
        <v>0</v>
      </c>
      <c r="H101" s="540">
        <f t="shared" si="10"/>
        <v>0</v>
      </c>
      <c r="I101" s="325">
        <f t="shared" si="8"/>
        <v>0</v>
      </c>
      <c r="J101" s="1"/>
    </row>
    <row r="102" spans="1:10" ht="14.5" x14ac:dyDescent="0.35">
      <c r="A102" s="169">
        <v>92</v>
      </c>
      <c r="B102" s="169">
        <f t="shared" si="9"/>
        <v>2106</v>
      </c>
      <c r="C102" s="325">
        <v>0</v>
      </c>
      <c r="D102" s="325">
        <v>0</v>
      </c>
      <c r="E102" s="325">
        <v>0</v>
      </c>
      <c r="F102" s="540">
        <v>0</v>
      </c>
      <c r="G102" s="524">
        <v>0</v>
      </c>
      <c r="H102" s="540">
        <f t="shared" si="10"/>
        <v>0</v>
      </c>
      <c r="I102" s="325">
        <f t="shared" si="8"/>
        <v>0</v>
      </c>
      <c r="J102" s="1"/>
    </row>
    <row r="103" spans="1:10" ht="14.5" x14ac:dyDescent="0.35">
      <c r="A103" s="169">
        <v>93</v>
      </c>
      <c r="B103" s="169">
        <f t="shared" si="9"/>
        <v>2107</v>
      </c>
      <c r="C103" s="325">
        <v>0</v>
      </c>
      <c r="D103" s="325">
        <v>0</v>
      </c>
      <c r="E103" s="325">
        <v>0</v>
      </c>
      <c r="F103" s="540">
        <v>0</v>
      </c>
      <c r="G103" s="524">
        <v>0</v>
      </c>
      <c r="H103" s="540">
        <f t="shared" si="10"/>
        <v>0</v>
      </c>
      <c r="I103" s="325">
        <f t="shared" si="8"/>
        <v>0</v>
      </c>
      <c r="J103" s="1"/>
    </row>
    <row r="104" spans="1:10" ht="14.5" x14ac:dyDescent="0.35">
      <c r="A104" s="169">
        <v>94</v>
      </c>
      <c r="B104" s="169">
        <f t="shared" si="9"/>
        <v>2108</v>
      </c>
      <c r="C104" s="325">
        <v>0</v>
      </c>
      <c r="D104" s="325">
        <v>0</v>
      </c>
      <c r="E104" s="325">
        <v>0</v>
      </c>
      <c r="F104" s="540">
        <v>0</v>
      </c>
      <c r="G104" s="524">
        <v>0</v>
      </c>
      <c r="H104" s="540">
        <f t="shared" si="10"/>
        <v>0</v>
      </c>
      <c r="I104" s="325">
        <f t="shared" si="8"/>
        <v>0</v>
      </c>
      <c r="J104" s="1"/>
    </row>
    <row r="105" spans="1:10" ht="14.5" x14ac:dyDescent="0.35">
      <c r="A105" s="169">
        <v>95</v>
      </c>
      <c r="B105" s="169">
        <f t="shared" si="9"/>
        <v>2109</v>
      </c>
      <c r="C105" s="325">
        <v>0</v>
      </c>
      <c r="D105" s="325">
        <v>0</v>
      </c>
      <c r="E105" s="325">
        <v>0</v>
      </c>
      <c r="F105" s="540">
        <v>0</v>
      </c>
      <c r="G105" s="524">
        <v>0</v>
      </c>
      <c r="H105" s="540">
        <f t="shared" si="10"/>
        <v>0</v>
      </c>
      <c r="I105" s="325">
        <f t="shared" si="8"/>
        <v>0</v>
      </c>
      <c r="J105" s="1"/>
    </row>
    <row r="106" spans="1:10" ht="14.5" x14ac:dyDescent="0.35">
      <c r="A106" s="169">
        <v>96</v>
      </c>
      <c r="B106" s="169">
        <f t="shared" si="9"/>
        <v>2110</v>
      </c>
      <c r="C106" s="325">
        <v>0</v>
      </c>
      <c r="D106" s="325">
        <v>0</v>
      </c>
      <c r="E106" s="325">
        <v>0</v>
      </c>
      <c r="F106" s="540">
        <v>0</v>
      </c>
      <c r="G106" s="524">
        <v>0</v>
      </c>
      <c r="H106" s="540">
        <f t="shared" si="10"/>
        <v>0</v>
      </c>
      <c r="I106" s="325">
        <f t="shared" si="8"/>
        <v>0</v>
      </c>
      <c r="J106" s="1"/>
    </row>
    <row r="107" spans="1:10" ht="14.5" x14ac:dyDescent="0.35">
      <c r="A107" s="169">
        <v>97</v>
      </c>
      <c r="B107" s="169">
        <f t="shared" si="9"/>
        <v>2111</v>
      </c>
      <c r="C107" s="325">
        <v>0</v>
      </c>
      <c r="D107" s="325">
        <v>0</v>
      </c>
      <c r="E107" s="325">
        <v>0</v>
      </c>
      <c r="F107" s="540">
        <v>0</v>
      </c>
      <c r="G107" s="524">
        <v>0</v>
      </c>
      <c r="H107" s="540">
        <f t="shared" si="10"/>
        <v>0</v>
      </c>
      <c r="I107" s="325">
        <f t="shared" si="8"/>
        <v>0</v>
      </c>
      <c r="J107" s="1"/>
    </row>
    <row r="108" spans="1:10" ht="14.5" x14ac:dyDescent="0.35">
      <c r="A108" s="169">
        <v>98</v>
      </c>
      <c r="B108" s="169">
        <f t="shared" si="9"/>
        <v>2112</v>
      </c>
      <c r="C108" s="325">
        <v>0</v>
      </c>
      <c r="D108" s="325">
        <v>0</v>
      </c>
      <c r="E108" s="325">
        <v>0</v>
      </c>
      <c r="F108" s="540">
        <v>0</v>
      </c>
      <c r="G108" s="524">
        <v>0</v>
      </c>
      <c r="H108" s="540">
        <f t="shared" si="10"/>
        <v>0</v>
      </c>
      <c r="I108" s="325">
        <f t="shared" si="8"/>
        <v>0</v>
      </c>
      <c r="J108" s="1"/>
    </row>
    <row r="109" spans="1:10" ht="14.5" x14ac:dyDescent="0.35">
      <c r="A109" s="169">
        <v>99</v>
      </c>
      <c r="B109" s="169">
        <f t="shared" si="9"/>
        <v>2113</v>
      </c>
      <c r="C109" s="325">
        <v>0</v>
      </c>
      <c r="D109" s="325">
        <v>0</v>
      </c>
      <c r="E109" s="325">
        <v>0</v>
      </c>
      <c r="F109" s="540">
        <v>0</v>
      </c>
      <c r="G109" s="524">
        <v>0</v>
      </c>
      <c r="H109" s="540">
        <f t="shared" si="10"/>
        <v>0</v>
      </c>
      <c r="I109" s="325">
        <f t="shared" si="8"/>
        <v>0</v>
      </c>
      <c r="J109" s="1"/>
    </row>
    <row r="110" spans="1:10" ht="14.5" x14ac:dyDescent="0.35">
      <c r="A110" s="169">
        <v>100</v>
      </c>
      <c r="B110" s="169">
        <f t="shared" si="9"/>
        <v>2114</v>
      </c>
      <c r="C110" s="325">
        <v>0</v>
      </c>
      <c r="D110" s="325">
        <v>0</v>
      </c>
      <c r="E110" s="325">
        <v>0</v>
      </c>
      <c r="F110" s="541">
        <v>0</v>
      </c>
      <c r="G110" s="326">
        <v>0</v>
      </c>
      <c r="H110" s="541">
        <f t="shared" si="10"/>
        <v>0</v>
      </c>
      <c r="I110" s="325">
        <f t="shared" si="8"/>
        <v>0</v>
      </c>
      <c r="J110" s="7"/>
    </row>
    <row r="111" spans="1:10" x14ac:dyDescent="0.3">
      <c r="A111" s="686" t="s">
        <v>55</v>
      </c>
      <c r="B111" s="686"/>
      <c r="C111" s="525">
        <f t="shared" ref="C111:G111" si="11">SUM(C10:C110)</f>
        <v>1331300</v>
      </c>
      <c r="D111" s="525">
        <f t="shared" si="11"/>
        <v>0</v>
      </c>
      <c r="E111" s="525">
        <f t="shared" si="11"/>
        <v>179725.5</v>
      </c>
      <c r="F111" s="525">
        <f>SUM(F10:F110)</f>
        <v>1157173.6725000001</v>
      </c>
      <c r="G111" s="526">
        <f t="shared" si="11"/>
        <v>381771240.40258271</v>
      </c>
      <c r="H111" s="525">
        <f>SUM(H10:H110)</f>
        <v>17063018.544309072</v>
      </c>
      <c r="I111" s="525">
        <f>SUM(I10:I110)</f>
        <v>19731217.716809072</v>
      </c>
      <c r="J111" s="192"/>
    </row>
    <row r="112" spans="1:10" x14ac:dyDescent="0.3">
      <c r="A112" s="7" t="s">
        <v>67</v>
      </c>
      <c r="I112" s="528"/>
    </row>
    <row r="113" spans="1:9" ht="27.65" customHeight="1" x14ac:dyDescent="0.3">
      <c r="A113" s="687" t="s">
        <v>695</v>
      </c>
      <c r="B113" s="687"/>
      <c r="C113" s="687"/>
      <c r="D113" s="687"/>
      <c r="E113" s="687"/>
      <c r="F113" s="687"/>
      <c r="G113" s="687"/>
      <c r="H113" s="687"/>
      <c r="I113" s="687"/>
    </row>
    <row r="114" spans="1:9" x14ac:dyDescent="0.3">
      <c r="A114" s="6" t="s">
        <v>82</v>
      </c>
    </row>
    <row r="115" spans="1:9" x14ac:dyDescent="0.3">
      <c r="A115" s="6" t="s">
        <v>83</v>
      </c>
    </row>
  </sheetData>
  <sheetProtection algorithmName="SHA-512" hashValue="6y1f3dIsKMasLKX1LaOsr0yvl2ijSKjeo0nhOJnPbKCs0tgbg8rucwUg3uCzEA3wmERAw7SheGntuXCUMWnCvQ==" saltValue="7jNGkORr7U+I8VFEbHx7AQ==" spinCount="100000" sheet="1" objects="1" scenarios="1"/>
  <mergeCells count="7">
    <mergeCell ref="H3:I3"/>
    <mergeCell ref="A111:B111"/>
    <mergeCell ref="A113:I113"/>
    <mergeCell ref="A4:B4"/>
    <mergeCell ref="A5:B5"/>
    <mergeCell ref="A6:B6"/>
    <mergeCell ref="A7:B7"/>
  </mergeCells>
  <pageMargins left="0.7" right="0.7" top="0.75" bottom="0.75" header="0.6" footer="0.3"/>
  <pageSetup paperSize="17" scale="63" fitToHeight="0" orientation="portrait" horizontalDpi="1200" verticalDpi="1200" r:id="rId1"/>
  <headerFooter scaleWithDoc="0">
    <oddFooter>&amp;R&amp;"Arial,Regular"&amp;8&amp;P of 2</oddFooter>
  </headerFooter>
  <rowBreaks count="1" manualBreakCount="1">
    <brk id="8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H35"/>
  <sheetViews>
    <sheetView view="pageBreakPreview" zoomScale="85" zoomScaleNormal="100" zoomScaleSheetLayoutView="85" workbookViewId="0">
      <selection activeCell="A32" sqref="A32:F32"/>
    </sheetView>
  </sheetViews>
  <sheetFormatPr defaultColWidth="9.26953125" defaultRowHeight="12.5" x14ac:dyDescent="0.25"/>
  <cols>
    <col min="1" max="1" width="27.81640625" style="91" customWidth="1"/>
    <col min="2" max="2" width="12.36328125" style="91" customWidth="1"/>
    <col min="3" max="3" width="6.26953125" style="91" customWidth="1"/>
    <col min="4" max="4" width="10.7265625" style="91" customWidth="1"/>
    <col min="5" max="5" width="14.26953125" style="91" customWidth="1"/>
    <col min="6" max="6" width="11.26953125" style="91" customWidth="1"/>
    <col min="7" max="16384" width="9.26953125" style="91"/>
  </cols>
  <sheetData>
    <row r="1" spans="1:6" x14ac:dyDescent="0.25">
      <c r="A1" s="7"/>
      <c r="B1" s="452"/>
      <c r="C1" s="452"/>
      <c r="D1" s="452"/>
      <c r="E1" s="452"/>
      <c r="F1" s="452"/>
    </row>
    <row r="2" spans="1:6" x14ac:dyDescent="0.25">
      <c r="A2" s="7"/>
      <c r="B2" s="452"/>
      <c r="C2" s="452"/>
      <c r="D2" s="452"/>
      <c r="E2" s="452"/>
      <c r="F2" s="452"/>
    </row>
    <row r="3" spans="1:6" ht="21" customHeight="1" x14ac:dyDescent="0.25">
      <c r="A3" s="3"/>
      <c r="B3" s="452"/>
      <c r="C3" s="452"/>
      <c r="D3" s="452"/>
      <c r="E3" s="452"/>
      <c r="F3" s="452"/>
    </row>
    <row r="4" spans="1:6" ht="13" x14ac:dyDescent="0.3">
      <c r="A4" s="451" t="s">
        <v>1</v>
      </c>
      <c r="B4" s="118" t="str">
        <f>'2019 CCP Summary'!B4</f>
        <v>REV 0 July 29, 2019</v>
      </c>
      <c r="C4" s="452"/>
      <c r="D4" s="452"/>
      <c r="E4" s="5"/>
      <c r="F4" s="22"/>
    </row>
    <row r="5" spans="1:6" ht="13" x14ac:dyDescent="0.3">
      <c r="A5" s="453" t="s">
        <v>2</v>
      </c>
      <c r="B5" s="461">
        <f>'2019 CCP Summary'!B5</f>
        <v>18106417</v>
      </c>
      <c r="C5" s="452"/>
      <c r="D5" s="452"/>
      <c r="E5" s="5"/>
      <c r="F5" s="22"/>
    </row>
    <row r="6" spans="1:6" ht="13" x14ac:dyDescent="0.3">
      <c r="A6" s="453" t="s">
        <v>3</v>
      </c>
      <c r="B6" s="6" t="s">
        <v>84</v>
      </c>
      <c r="C6" s="452"/>
      <c r="D6" s="452"/>
      <c r="E6" s="452"/>
      <c r="F6" s="452"/>
    </row>
    <row r="7" spans="1:6" ht="14.75" customHeight="1" x14ac:dyDescent="0.3">
      <c r="A7" s="454" t="s">
        <v>5</v>
      </c>
      <c r="B7" s="461" t="str">
        <f>'2019 CCP Summary'!B7</f>
        <v>Tyrone Mine Closure Closeout Plan</v>
      </c>
      <c r="C7" s="452"/>
      <c r="D7" s="452"/>
      <c r="E7" s="452"/>
      <c r="F7" s="452"/>
    </row>
    <row r="8" spans="1:6" ht="13" thickBot="1" x14ac:dyDescent="0.3">
      <c r="A8" s="452"/>
      <c r="B8" s="452"/>
      <c r="C8" s="452"/>
      <c r="D8" s="452"/>
      <c r="E8" s="452"/>
      <c r="F8" s="452"/>
    </row>
    <row r="9" spans="1:6" ht="51" customHeight="1" thickBot="1" x14ac:dyDescent="0.35">
      <c r="A9" s="607" t="s">
        <v>36</v>
      </c>
      <c r="B9" s="388"/>
      <c r="C9" s="389"/>
      <c r="D9" s="85"/>
      <c r="E9" s="452"/>
      <c r="F9" s="452"/>
    </row>
    <row r="10" spans="1:6" s="452" customFormat="1" x14ac:dyDescent="0.25">
      <c r="A10" s="693" t="s">
        <v>85</v>
      </c>
      <c r="B10" s="694"/>
      <c r="C10" s="695"/>
      <c r="D10" s="85"/>
    </row>
    <row r="11" spans="1:6" x14ac:dyDescent="0.25">
      <c r="A11" s="351" t="s">
        <v>86</v>
      </c>
      <c r="B11" s="394">
        <v>1.5</v>
      </c>
      <c r="C11" s="352" t="s">
        <v>682</v>
      </c>
      <c r="D11" s="85"/>
      <c r="E11" s="452"/>
      <c r="F11" s="452"/>
    </row>
    <row r="12" spans="1:6" ht="14.5" x14ac:dyDescent="0.25">
      <c r="A12" s="351" t="s">
        <v>87</v>
      </c>
      <c r="B12" s="99">
        <f>'TTS O&amp;M Input'!$C$27</f>
        <v>18.600000000000001</v>
      </c>
      <c r="C12" s="352" t="s">
        <v>88</v>
      </c>
      <c r="D12" s="85"/>
      <c r="E12" s="452"/>
      <c r="F12" s="452"/>
    </row>
    <row r="13" spans="1:6" x14ac:dyDescent="0.25">
      <c r="A13" s="351" t="s">
        <v>684</v>
      </c>
      <c r="B13" s="98">
        <v>2087</v>
      </c>
      <c r="C13" s="352" t="s">
        <v>681</v>
      </c>
      <c r="D13" s="85"/>
      <c r="E13" s="452"/>
      <c r="F13" s="452"/>
    </row>
    <row r="14" spans="1:6" ht="13" thickBot="1" x14ac:dyDescent="0.3">
      <c r="A14" s="383" t="s">
        <v>90</v>
      </c>
      <c r="B14" s="333">
        <f>B12*B13*B11</f>
        <v>58227.3</v>
      </c>
      <c r="C14" s="384"/>
      <c r="D14" s="85"/>
      <c r="E14" s="452"/>
      <c r="F14" s="452"/>
    </row>
    <row r="15" spans="1:6" ht="13.5" hidden="1" thickBot="1" x14ac:dyDescent="0.35">
      <c r="A15" s="385" t="s">
        <v>91</v>
      </c>
      <c r="B15" s="386">
        <f>B14</f>
        <v>58227.3</v>
      </c>
      <c r="C15" s="387"/>
      <c r="D15" s="85"/>
      <c r="E15" s="452"/>
      <c r="F15" s="452"/>
    </row>
    <row r="16" spans="1:6" x14ac:dyDescent="0.25">
      <c r="A16" s="348" t="s">
        <v>92</v>
      </c>
      <c r="B16" s="357">
        <v>0.15</v>
      </c>
      <c r="C16" s="350"/>
      <c r="D16" s="85"/>
      <c r="E16" s="452"/>
      <c r="F16" s="452"/>
    </row>
    <row r="17" spans="1:8" x14ac:dyDescent="0.25">
      <c r="A17" s="351" t="s">
        <v>686</v>
      </c>
      <c r="B17" s="358">
        <f>B13*B16*B11</f>
        <v>469.57500000000005</v>
      </c>
      <c r="C17" s="352" t="s">
        <v>681</v>
      </c>
      <c r="D17" s="85"/>
      <c r="E17" s="452"/>
      <c r="F17" s="452"/>
      <c r="G17" s="452"/>
      <c r="H17" s="452"/>
    </row>
    <row r="18" spans="1:8" ht="13" thickBot="1" x14ac:dyDescent="0.3">
      <c r="A18" s="353" t="s">
        <v>93</v>
      </c>
      <c r="B18" s="359">
        <f>B12*1.5*B17</f>
        <v>13101.142500000002</v>
      </c>
      <c r="C18" s="354"/>
      <c r="D18" s="85"/>
      <c r="E18" s="452"/>
      <c r="F18" s="452"/>
      <c r="G18" s="452"/>
      <c r="H18" s="452"/>
    </row>
    <row r="19" spans="1:8" ht="13.5" hidden="1" thickBot="1" x14ac:dyDescent="0.35">
      <c r="A19" s="355" t="s">
        <v>94</v>
      </c>
      <c r="B19" s="361">
        <f>G12+G15+B18</f>
        <v>13101.142500000002</v>
      </c>
      <c r="C19" s="356"/>
      <c r="D19" s="85"/>
      <c r="E19" s="452"/>
      <c r="F19" s="452"/>
      <c r="G19" s="452"/>
      <c r="H19" s="452"/>
    </row>
    <row r="20" spans="1:8" x14ac:dyDescent="0.25">
      <c r="A20" s="348" t="s">
        <v>696</v>
      </c>
      <c r="B20" s="395">
        <v>0.5</v>
      </c>
      <c r="C20" s="350" t="s">
        <v>682</v>
      </c>
      <c r="D20" s="85"/>
      <c r="E20" s="452"/>
      <c r="F20" s="452"/>
      <c r="G20" s="452"/>
      <c r="H20" s="452"/>
    </row>
    <row r="21" spans="1:8" ht="14.5" x14ac:dyDescent="0.25">
      <c r="A21" s="351" t="s">
        <v>96</v>
      </c>
      <c r="B21" s="99">
        <f>'TTS O&amp;M Input'!$C$28</f>
        <v>31.1</v>
      </c>
      <c r="C21" s="352" t="s">
        <v>88</v>
      </c>
      <c r="D21" s="85"/>
      <c r="E21" s="452"/>
      <c r="F21" s="452"/>
      <c r="G21" s="452"/>
      <c r="H21" s="452"/>
    </row>
    <row r="22" spans="1:8" x14ac:dyDescent="0.25">
      <c r="A22" s="351" t="s">
        <v>685</v>
      </c>
      <c r="B22" s="358">
        <v>2087</v>
      </c>
      <c r="C22" s="352" t="s">
        <v>681</v>
      </c>
      <c r="D22" s="85"/>
      <c r="E22" s="452"/>
      <c r="F22" s="452"/>
      <c r="G22" s="452"/>
      <c r="H22" s="452"/>
    </row>
    <row r="23" spans="1:8" ht="13" thickBot="1" x14ac:dyDescent="0.3">
      <c r="A23" s="353" t="s">
        <v>98</v>
      </c>
      <c r="B23" s="359">
        <f>B21*B22*B20</f>
        <v>32452.850000000002</v>
      </c>
      <c r="C23" s="354"/>
      <c r="D23" s="85"/>
      <c r="E23" s="452"/>
      <c r="F23" s="452"/>
      <c r="G23" s="452"/>
      <c r="H23" s="452"/>
    </row>
    <row r="24" spans="1:8" ht="14.5" x14ac:dyDescent="0.25">
      <c r="A24" s="348" t="s">
        <v>680</v>
      </c>
      <c r="B24" s="362">
        <f>'TTS O&amp;M Input'!C30</f>
        <v>5.94</v>
      </c>
      <c r="C24" s="350" t="s">
        <v>88</v>
      </c>
      <c r="D24" s="85"/>
      <c r="E24" s="452"/>
      <c r="F24" s="452"/>
      <c r="G24" s="452"/>
      <c r="H24" s="452"/>
    </row>
    <row r="25" spans="1:8" ht="13" thickBot="1" x14ac:dyDescent="0.3">
      <c r="A25" s="365" t="s">
        <v>683</v>
      </c>
      <c r="B25" s="366">
        <f>B13*B11+B22*B20</f>
        <v>4174</v>
      </c>
      <c r="C25" s="367" t="s">
        <v>100</v>
      </c>
      <c r="D25" s="85"/>
      <c r="E25" s="452"/>
      <c r="F25" s="452"/>
      <c r="G25" s="452"/>
      <c r="H25" s="452"/>
    </row>
    <row r="26" spans="1:8" ht="15.75" customHeight="1" thickBot="1" x14ac:dyDescent="0.3">
      <c r="A26" s="368" t="s">
        <v>101</v>
      </c>
      <c r="B26" s="369">
        <f>B25*B24</f>
        <v>24793.56</v>
      </c>
      <c r="C26" s="370"/>
      <c r="D26" s="103"/>
      <c r="E26" s="452"/>
      <c r="F26" s="452"/>
      <c r="G26" s="452"/>
      <c r="H26" s="452"/>
    </row>
    <row r="27" spans="1:8" ht="13.5" hidden="1" thickBot="1" x14ac:dyDescent="0.35">
      <c r="A27" s="355" t="s">
        <v>101</v>
      </c>
      <c r="B27" s="361">
        <f>B26</f>
        <v>24793.56</v>
      </c>
      <c r="C27" s="356"/>
      <c r="D27" s="103"/>
      <c r="E27" s="452"/>
      <c r="F27" s="452"/>
      <c r="G27" s="452"/>
      <c r="H27" s="452"/>
    </row>
    <row r="28" spans="1:8" ht="13.5" thickBot="1" x14ac:dyDescent="0.35">
      <c r="A28" s="385" t="s">
        <v>102</v>
      </c>
      <c r="B28" s="386">
        <f>B26+B18+B14+B23</f>
        <v>128574.85250000001</v>
      </c>
      <c r="C28" s="387"/>
      <c r="D28" s="103"/>
      <c r="E28" s="452"/>
      <c r="F28" s="381"/>
      <c r="G28" s="382"/>
      <c r="H28" s="381"/>
    </row>
    <row r="29" spans="1:8" ht="13" x14ac:dyDescent="0.3">
      <c r="A29" s="381"/>
      <c r="B29" s="382"/>
      <c r="C29" s="381"/>
      <c r="D29" s="103"/>
      <c r="E29" s="452"/>
      <c r="F29" s="381"/>
      <c r="G29" s="382"/>
      <c r="H29" s="381"/>
    </row>
    <row r="30" spans="1:8" ht="13" x14ac:dyDescent="0.3">
      <c r="A30" s="101" t="s">
        <v>67</v>
      </c>
      <c r="B30" s="102"/>
      <c r="C30" s="103"/>
      <c r="D30" s="103"/>
      <c r="E30" s="452"/>
      <c r="F30" s="452"/>
      <c r="G30" s="452"/>
      <c r="H30" s="452"/>
    </row>
    <row r="31" spans="1:8" s="606" customFormat="1" ht="15" customHeight="1" x14ac:dyDescent="0.35">
      <c r="A31" s="696" t="s">
        <v>103</v>
      </c>
      <c r="B31" s="696"/>
      <c r="C31" s="696"/>
      <c r="D31" s="696"/>
      <c r="E31" s="696"/>
      <c r="F31" s="696"/>
    </row>
    <row r="32" spans="1:8" s="606" customFormat="1" ht="52" customHeight="1" x14ac:dyDescent="0.35">
      <c r="A32" s="696" t="s">
        <v>104</v>
      </c>
      <c r="B32" s="696"/>
      <c r="C32" s="696"/>
      <c r="D32" s="696"/>
      <c r="E32" s="696"/>
      <c r="F32" s="696"/>
    </row>
    <row r="33" spans="1:6" s="606" customFormat="1" ht="52" customHeight="1" x14ac:dyDescent="0.35">
      <c r="A33" s="696" t="s">
        <v>105</v>
      </c>
      <c r="B33" s="696"/>
      <c r="C33" s="696"/>
      <c r="D33" s="696"/>
      <c r="E33" s="696"/>
      <c r="F33" s="696"/>
    </row>
    <row r="34" spans="1:6" s="606" customFormat="1" ht="52" customHeight="1" x14ac:dyDescent="0.35">
      <c r="A34" s="696" t="s">
        <v>679</v>
      </c>
      <c r="B34" s="696"/>
      <c r="C34" s="696"/>
      <c r="D34" s="696"/>
      <c r="E34" s="696"/>
      <c r="F34" s="696"/>
    </row>
    <row r="35" spans="1:6" s="606" customFormat="1" ht="15" customHeight="1" x14ac:dyDescent="0.35">
      <c r="A35" s="692" t="s">
        <v>83</v>
      </c>
      <c r="B35" s="692"/>
      <c r="C35" s="692"/>
      <c r="D35" s="692"/>
      <c r="E35" s="692"/>
      <c r="F35" s="692"/>
    </row>
  </sheetData>
  <sheetProtection algorithmName="SHA-512" hashValue="oSKQfvz2gXj0TrBIMgjfbowCqdL+tWZ33nu2P59+v47Kuv8xuF7z9Znhcig+GvRd26NAOWeC0T4lj4Xoy13Gkg==" saltValue="4HwGwXLaCogwac6DE6ghqw==" spinCount="100000" sheet="1" objects="1" scenarios="1"/>
  <mergeCells count="6">
    <mergeCell ref="A35:F35"/>
    <mergeCell ref="A10:C10"/>
    <mergeCell ref="A31:F31"/>
    <mergeCell ref="A32:F32"/>
    <mergeCell ref="A33:F33"/>
    <mergeCell ref="A34:F34"/>
  </mergeCells>
  <pageMargins left="1.2" right="0.7" top="0.75" bottom="0.75" header="0.3" footer="0.3"/>
  <pageSetup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121"/>
  <sheetViews>
    <sheetView view="pageBreakPreview" zoomScale="75" zoomScaleNormal="100" zoomScaleSheetLayoutView="75" workbookViewId="0">
      <pane xSplit="2" ySplit="10" topLeftCell="C83" activePane="bottomRight" state="frozen"/>
      <selection pane="topRight" activeCell="M112" sqref="M112"/>
      <selection pane="bottomLeft" activeCell="M112" sqref="M112"/>
      <selection pane="bottomRight" activeCell="H82" sqref="G82:H82"/>
    </sheetView>
  </sheetViews>
  <sheetFormatPr defaultColWidth="9.26953125" defaultRowHeight="14" x14ac:dyDescent="0.3"/>
  <cols>
    <col min="1" max="1" width="10.26953125" style="7" customWidth="1"/>
    <col min="2" max="2" width="9.26953125" style="7" customWidth="1"/>
    <col min="3" max="3" width="14.26953125" style="7" customWidth="1"/>
    <col min="4" max="9" width="18.36328125" style="7" customWidth="1"/>
    <col min="10" max="10" width="28.36328125" style="7" customWidth="1"/>
    <col min="11" max="11" width="14.26953125" style="7" customWidth="1"/>
    <col min="12" max="12" width="17" style="7" customWidth="1"/>
    <col min="13" max="13" width="16.26953125" style="7" customWidth="1"/>
    <col min="14" max="14" width="21.54296875" style="7" customWidth="1"/>
    <col min="15" max="15" width="13.26953125" style="90" customWidth="1"/>
    <col min="16" max="16384" width="9.26953125" style="90"/>
  </cols>
  <sheetData>
    <row r="1" spans="1:15" x14ac:dyDescent="0.3">
      <c r="A1" s="608"/>
      <c r="B1" s="608"/>
    </row>
    <row r="2" spans="1:15" x14ac:dyDescent="0.3">
      <c r="A2" s="608"/>
      <c r="B2" s="608"/>
      <c r="M2" s="685" t="s">
        <v>10</v>
      </c>
      <c r="N2" s="685"/>
    </row>
    <row r="3" spans="1:15" ht="20.25" customHeight="1" x14ac:dyDescent="0.35">
      <c r="A3" s="609"/>
      <c r="B3" s="609"/>
      <c r="C3" s="3"/>
      <c r="F3" s="2"/>
      <c r="M3" s="530" t="s">
        <v>106</v>
      </c>
      <c r="N3" s="517">
        <v>712270</v>
      </c>
    </row>
    <row r="4" spans="1:15" x14ac:dyDescent="0.3">
      <c r="A4" s="699" t="s">
        <v>1</v>
      </c>
      <c r="B4" s="700"/>
      <c r="C4" s="118" t="str">
        <f>'2019 CCP Summary'!B4</f>
        <v>REV 0 July 29, 2019</v>
      </c>
      <c r="E4" s="118"/>
      <c r="F4" s="118"/>
      <c r="G4" s="118"/>
      <c r="H4" s="118"/>
      <c r="I4" s="118"/>
      <c r="J4" s="466"/>
      <c r="K4" s="466"/>
      <c r="L4" s="466"/>
      <c r="M4" s="530" t="s">
        <v>107</v>
      </c>
      <c r="N4" s="551">
        <v>227010</v>
      </c>
    </row>
    <row r="5" spans="1:15" x14ac:dyDescent="0.3">
      <c r="A5" s="701" t="s">
        <v>2</v>
      </c>
      <c r="B5" s="700"/>
      <c r="C5" s="467">
        <f>'2019 CCP Summary'!B5</f>
        <v>18106417</v>
      </c>
      <c r="E5" s="6"/>
      <c r="F5" s="6"/>
      <c r="G5" s="6"/>
      <c r="H5" s="6"/>
      <c r="I5" s="6"/>
      <c r="J5" s="6"/>
      <c r="K5" s="6"/>
      <c r="L5" s="464"/>
      <c r="M5" s="530" t="s">
        <v>108</v>
      </c>
      <c r="N5" s="517">
        <v>1175713.0793791478</v>
      </c>
      <c r="O5" s="97"/>
    </row>
    <row r="6" spans="1:15" x14ac:dyDescent="0.3">
      <c r="A6" s="701" t="s">
        <v>3</v>
      </c>
      <c r="B6" s="700"/>
      <c r="C6" s="6" t="s">
        <v>109</v>
      </c>
      <c r="E6" s="6"/>
      <c r="F6" s="6"/>
      <c r="G6" s="6"/>
      <c r="H6" s="6"/>
      <c r="I6" s="6"/>
      <c r="J6" s="6"/>
      <c r="K6" s="6"/>
      <c r="L6" s="6"/>
      <c r="M6" s="516" t="s">
        <v>110</v>
      </c>
      <c r="N6" s="392">
        <v>1.7999999999999999E-2</v>
      </c>
      <c r="O6" s="94"/>
    </row>
    <row r="7" spans="1:15" ht="14.75" customHeight="1" x14ac:dyDescent="0.3">
      <c r="A7" s="702" t="s">
        <v>5</v>
      </c>
      <c r="B7" s="700"/>
      <c r="C7" s="467" t="str">
        <f>'2019 CCP Summary'!B7</f>
        <v>Tyrone Mine Closure Closeout Plan</v>
      </c>
      <c r="E7" s="6"/>
      <c r="F7" s="6"/>
      <c r="G7" s="6"/>
      <c r="H7" s="6"/>
      <c r="I7" s="6"/>
      <c r="J7" s="6"/>
      <c r="K7" s="6"/>
      <c r="L7" s="6"/>
      <c r="M7" s="516" t="s">
        <v>71</v>
      </c>
      <c r="N7" s="392">
        <v>1.4999999999999999E-2</v>
      </c>
      <c r="O7" s="119"/>
    </row>
    <row r="8" spans="1:15" ht="14.75" customHeight="1" x14ac:dyDescent="0.3">
      <c r="A8" s="610"/>
      <c r="B8" s="608"/>
      <c r="D8" s="6"/>
      <c r="E8" s="6"/>
      <c r="F8" s="6"/>
      <c r="G8" s="6"/>
      <c r="H8" s="6"/>
      <c r="I8" s="6"/>
      <c r="J8" s="6"/>
      <c r="K8" s="6"/>
      <c r="M8" s="530" t="s">
        <v>72</v>
      </c>
      <c r="N8" s="553">
        <v>4.4694352896556322E-2</v>
      </c>
    </row>
    <row r="9" spans="1:15" ht="14.75" customHeight="1" x14ac:dyDescent="0.3">
      <c r="A9" s="201"/>
      <c r="B9" s="145"/>
      <c r="D9" s="6"/>
      <c r="E9" s="6"/>
      <c r="F9" s="6"/>
      <c r="G9" s="6"/>
      <c r="H9" s="6"/>
      <c r="I9" s="6"/>
      <c r="J9" s="6"/>
      <c r="K9" s="6"/>
      <c r="M9" s="530" t="s">
        <v>73</v>
      </c>
      <c r="N9" s="553">
        <v>4.5333893342660331E-2</v>
      </c>
    </row>
    <row r="10" spans="1:15" s="542" customFormat="1" ht="52" x14ac:dyDescent="0.3">
      <c r="A10" s="465" t="s">
        <v>74</v>
      </c>
      <c r="B10" s="223" t="s">
        <v>50</v>
      </c>
      <c r="C10" s="223" t="s">
        <v>75</v>
      </c>
      <c r="D10" s="223" t="s">
        <v>111</v>
      </c>
      <c r="E10" s="223" t="s">
        <v>112</v>
      </c>
      <c r="F10" s="223" t="s">
        <v>113</v>
      </c>
      <c r="G10" s="223" t="s">
        <v>114</v>
      </c>
      <c r="H10" s="223" t="s">
        <v>115</v>
      </c>
      <c r="I10" s="223" t="s">
        <v>116</v>
      </c>
      <c r="J10" s="223" t="s">
        <v>117</v>
      </c>
      <c r="K10" s="223" t="s">
        <v>118</v>
      </c>
      <c r="L10" s="223" t="s">
        <v>119</v>
      </c>
      <c r="M10" s="223" t="s">
        <v>80</v>
      </c>
      <c r="N10" s="222" t="s">
        <v>81</v>
      </c>
    </row>
    <row r="11" spans="1:15" ht="14.5" x14ac:dyDescent="0.35">
      <c r="A11" s="169">
        <v>1</v>
      </c>
      <c r="B11" s="169">
        <v>2015</v>
      </c>
      <c r="C11" s="325">
        <f>0</f>
        <v>0</v>
      </c>
      <c r="D11" s="325">
        <v>0</v>
      </c>
      <c r="E11" s="325">
        <v>0</v>
      </c>
      <c r="F11" s="325">
        <v>0</v>
      </c>
      <c r="G11" s="325">
        <v>0</v>
      </c>
      <c r="H11" s="325">
        <v>0</v>
      </c>
      <c r="I11" s="325">
        <v>0</v>
      </c>
      <c r="J11" s="325">
        <v>0</v>
      </c>
      <c r="K11" s="330">
        <v>0</v>
      </c>
      <c r="L11" s="330">
        <v>0</v>
      </c>
      <c r="M11" s="325">
        <f>(K11+L11)*0.04</f>
        <v>0</v>
      </c>
      <c r="N11" s="325">
        <f t="shared" ref="N11:N75" si="0">SUM(C11:J11,M11)</f>
        <v>0</v>
      </c>
    </row>
    <row r="12" spans="1:15" ht="14.5" x14ac:dyDescent="0.35">
      <c r="A12" s="169">
        <v>2</v>
      </c>
      <c r="B12" s="169">
        <f>+B11+1</f>
        <v>2016</v>
      </c>
      <c r="C12" s="325">
        <f>0</f>
        <v>0</v>
      </c>
      <c r="D12" s="325">
        <v>0</v>
      </c>
      <c r="E12" s="325">
        <v>0</v>
      </c>
      <c r="F12" s="325">
        <v>0</v>
      </c>
      <c r="G12" s="325">
        <v>0</v>
      </c>
      <c r="H12" s="325">
        <v>0</v>
      </c>
      <c r="I12" s="325">
        <v>0</v>
      </c>
      <c r="J12" s="325">
        <v>0</v>
      </c>
      <c r="K12" s="330">
        <v>0</v>
      </c>
      <c r="L12" s="330">
        <v>0</v>
      </c>
      <c r="M12" s="325">
        <f t="shared" ref="M12:M16" si="1">(K12+L12)*0.04</f>
        <v>0</v>
      </c>
      <c r="N12" s="325">
        <f t="shared" si="0"/>
        <v>0</v>
      </c>
    </row>
    <row r="13" spans="1:15" ht="14.5" x14ac:dyDescent="0.35">
      <c r="A13" s="169">
        <v>3</v>
      </c>
      <c r="B13" s="169">
        <f t="shared" ref="B13:B76" si="2">+B12+1</f>
        <v>2017</v>
      </c>
      <c r="C13" s="325">
        <f>0</f>
        <v>0</v>
      </c>
      <c r="D13" s="325">
        <v>0</v>
      </c>
      <c r="E13" s="325">
        <v>0</v>
      </c>
      <c r="F13" s="325">
        <v>0</v>
      </c>
      <c r="G13" s="325">
        <v>0</v>
      </c>
      <c r="H13" s="325">
        <v>0</v>
      </c>
      <c r="I13" s="325">
        <v>0</v>
      </c>
      <c r="J13" s="325">
        <v>0</v>
      </c>
      <c r="K13" s="330">
        <v>0</v>
      </c>
      <c r="L13" s="330">
        <v>0</v>
      </c>
      <c r="M13" s="325">
        <f t="shared" si="1"/>
        <v>0</v>
      </c>
      <c r="N13" s="325">
        <f t="shared" si="0"/>
        <v>0</v>
      </c>
    </row>
    <row r="14" spans="1:15" ht="14.5" x14ac:dyDescent="0.35">
      <c r="A14" s="169">
        <v>4</v>
      </c>
      <c r="B14" s="169">
        <f t="shared" si="2"/>
        <v>2018</v>
      </c>
      <c r="C14" s="325">
        <f>0</f>
        <v>0</v>
      </c>
      <c r="D14" s="325">
        <v>0</v>
      </c>
      <c r="E14" s="325">
        <v>0</v>
      </c>
      <c r="F14" s="325">
        <v>0</v>
      </c>
      <c r="G14" s="325">
        <v>0</v>
      </c>
      <c r="H14" s="325">
        <v>0</v>
      </c>
      <c r="I14" s="325">
        <v>0</v>
      </c>
      <c r="J14" s="325">
        <v>0</v>
      </c>
      <c r="K14" s="330">
        <v>0</v>
      </c>
      <c r="L14" s="330">
        <v>0</v>
      </c>
      <c r="M14" s="325">
        <f t="shared" si="1"/>
        <v>0</v>
      </c>
      <c r="N14" s="325">
        <f t="shared" si="0"/>
        <v>0</v>
      </c>
    </row>
    <row r="15" spans="1:15" ht="14.5" x14ac:dyDescent="0.35">
      <c r="A15" s="169">
        <v>5</v>
      </c>
      <c r="B15" s="169">
        <f t="shared" si="2"/>
        <v>2019</v>
      </c>
      <c r="C15" s="325">
        <f>0</f>
        <v>0</v>
      </c>
      <c r="D15" s="325">
        <v>0</v>
      </c>
      <c r="E15" s="325">
        <v>0</v>
      </c>
      <c r="F15" s="325">
        <v>0</v>
      </c>
      <c r="G15" s="325">
        <v>0</v>
      </c>
      <c r="H15" s="325">
        <v>0</v>
      </c>
      <c r="I15" s="325">
        <v>0</v>
      </c>
      <c r="J15" s="325">
        <v>0</v>
      </c>
      <c r="K15" s="330">
        <v>0</v>
      </c>
      <c r="L15" s="330">
        <v>0</v>
      </c>
      <c r="M15" s="325">
        <f t="shared" si="1"/>
        <v>0</v>
      </c>
      <c r="N15" s="325">
        <f t="shared" si="0"/>
        <v>0</v>
      </c>
    </row>
    <row r="16" spans="1:15" ht="14.5" x14ac:dyDescent="0.35">
      <c r="A16" s="169">
        <v>6</v>
      </c>
      <c r="B16" s="169">
        <f t="shared" si="2"/>
        <v>2020</v>
      </c>
      <c r="C16" s="325">
        <v>0</v>
      </c>
      <c r="D16" s="325">
        <v>0</v>
      </c>
      <c r="E16" s="325">
        <v>0</v>
      </c>
      <c r="F16" s="325">
        <v>0</v>
      </c>
      <c r="G16" s="325">
        <v>0</v>
      </c>
      <c r="H16" s="325">
        <v>0</v>
      </c>
      <c r="I16" s="325">
        <v>0</v>
      </c>
      <c r="J16" s="325">
        <v>0</v>
      </c>
      <c r="K16" s="330">
        <v>0</v>
      </c>
      <c r="L16" s="331">
        <v>0</v>
      </c>
      <c r="M16" s="325">
        <f t="shared" si="1"/>
        <v>0</v>
      </c>
      <c r="N16" s="325">
        <f t="shared" si="0"/>
        <v>0</v>
      </c>
      <c r="O16" s="7"/>
    </row>
    <row r="17" spans="1:15" ht="14.5" x14ac:dyDescent="0.35">
      <c r="A17" s="169">
        <v>7</v>
      </c>
      <c r="B17" s="169">
        <f t="shared" si="2"/>
        <v>2021</v>
      </c>
      <c r="C17" s="325">
        <v>0</v>
      </c>
      <c r="D17" s="325">
        <v>0</v>
      </c>
      <c r="E17" s="325">
        <v>0</v>
      </c>
      <c r="F17" s="325">
        <v>0</v>
      </c>
      <c r="G17" s="325">
        <v>0</v>
      </c>
      <c r="H17" s="325">
        <v>0</v>
      </c>
      <c r="I17" s="325">
        <v>0</v>
      </c>
      <c r="J17" s="325">
        <v>0</v>
      </c>
      <c r="K17" s="330">
        <v>0</v>
      </c>
      <c r="L17" s="331">
        <v>0</v>
      </c>
      <c r="M17" s="325">
        <f t="shared" ref="M17:M48" si="3">(K17+L17)*$N$9</f>
        <v>0</v>
      </c>
      <c r="N17" s="325">
        <f t="shared" si="0"/>
        <v>0</v>
      </c>
      <c r="O17" s="7"/>
    </row>
    <row r="18" spans="1:15" ht="14.5" x14ac:dyDescent="0.35">
      <c r="A18" s="169">
        <v>8</v>
      </c>
      <c r="B18" s="169">
        <f t="shared" si="2"/>
        <v>2022</v>
      </c>
      <c r="C18" s="325">
        <f>0</f>
        <v>0</v>
      </c>
      <c r="D18" s="325">
        <v>0</v>
      </c>
      <c r="E18" s="325">
        <v>0</v>
      </c>
      <c r="F18" s="325">
        <v>0</v>
      </c>
      <c r="G18" s="325">
        <v>0</v>
      </c>
      <c r="H18" s="325">
        <v>0</v>
      </c>
      <c r="I18" s="325">
        <v>0</v>
      </c>
      <c r="J18" s="325">
        <v>0</v>
      </c>
      <c r="K18" s="330">
        <v>0</v>
      </c>
      <c r="L18" s="331">
        <v>0</v>
      </c>
      <c r="M18" s="325">
        <f t="shared" si="3"/>
        <v>0</v>
      </c>
      <c r="N18" s="325">
        <f t="shared" si="0"/>
        <v>0</v>
      </c>
      <c r="O18" s="1"/>
    </row>
    <row r="19" spans="1:15" ht="14.5" x14ac:dyDescent="0.35">
      <c r="A19" s="169">
        <v>9</v>
      </c>
      <c r="B19" s="169">
        <f t="shared" si="2"/>
        <v>2023</v>
      </c>
      <c r="C19" s="554">
        <v>709540</v>
      </c>
      <c r="D19" s="325">
        <v>0</v>
      </c>
      <c r="E19" s="325">
        <v>0</v>
      </c>
      <c r="F19" s="325">
        <v>0</v>
      </c>
      <c r="G19" s="325">
        <v>0</v>
      </c>
      <c r="H19" s="325">
        <v>0</v>
      </c>
      <c r="I19" s="325">
        <v>0</v>
      </c>
      <c r="J19" s="325">
        <v>0</v>
      </c>
      <c r="K19" s="330">
        <v>0</v>
      </c>
      <c r="L19" s="331">
        <v>0</v>
      </c>
      <c r="M19" s="325">
        <f t="shared" si="3"/>
        <v>0</v>
      </c>
      <c r="N19" s="325">
        <f t="shared" si="0"/>
        <v>709540</v>
      </c>
      <c r="O19" s="1"/>
    </row>
    <row r="20" spans="1:15" ht="14.5" x14ac:dyDescent="0.35">
      <c r="A20" s="169">
        <v>10</v>
      </c>
      <c r="B20" s="169">
        <f t="shared" si="2"/>
        <v>2024</v>
      </c>
      <c r="C20" s="554">
        <f>0</f>
        <v>0</v>
      </c>
      <c r="D20" s="549">
        <f t="shared" ref="D20:D25" si="4">$N$3*$N$6</f>
        <v>12820.859999999999</v>
      </c>
      <c r="E20" s="325">
        <f>$N$4*$N$6</f>
        <v>4086.18</v>
      </c>
      <c r="F20" s="549">
        <f t="shared" ref="F20:F25" si="5">$N$5*$N$6</f>
        <v>21162.835428824659</v>
      </c>
      <c r="G20" s="549">
        <f t="shared" ref="G20:G25" si="6">$N$3*$N$7</f>
        <v>10684.05</v>
      </c>
      <c r="H20" s="325">
        <f>$N$4*$N$7</f>
        <v>3405.15</v>
      </c>
      <c r="I20" s="549">
        <f t="shared" ref="I20:I25" si="7">$N$5*$N$7</f>
        <v>17635.696190687217</v>
      </c>
      <c r="J20" s="96" t="s">
        <v>120</v>
      </c>
      <c r="K20" s="531">
        <v>1437895.8478867481</v>
      </c>
      <c r="L20" s="532">
        <v>9798498</v>
      </c>
      <c r="M20" s="325">
        <f>(K20+L20)*$N$8</f>
        <v>502203.35192214476</v>
      </c>
      <c r="N20" s="325">
        <f t="shared" si="0"/>
        <v>571998.12354165665</v>
      </c>
      <c r="O20" s="1"/>
    </row>
    <row r="21" spans="1:15" ht="14.5" x14ac:dyDescent="0.35">
      <c r="A21" s="169">
        <v>11</v>
      </c>
      <c r="B21" s="169">
        <f t="shared" si="2"/>
        <v>2025</v>
      </c>
      <c r="C21" s="554">
        <f>0</f>
        <v>0</v>
      </c>
      <c r="D21" s="549">
        <f t="shared" si="4"/>
        <v>12820.859999999999</v>
      </c>
      <c r="E21" s="325">
        <f t="shared" ref="E21:E24" si="8">$N$4*$N$6</f>
        <v>4086.18</v>
      </c>
      <c r="F21" s="549">
        <f t="shared" si="5"/>
        <v>21162.835428824659</v>
      </c>
      <c r="G21" s="549">
        <f t="shared" si="6"/>
        <v>10684.05</v>
      </c>
      <c r="H21" s="325">
        <f t="shared" ref="H21:H24" si="9">$N$4*$N$7</f>
        <v>3405.15</v>
      </c>
      <c r="I21" s="549">
        <f t="shared" si="7"/>
        <v>17635.696190687217</v>
      </c>
      <c r="J21" s="96" t="s">
        <v>120</v>
      </c>
      <c r="K21" s="531">
        <v>1412386.515587535</v>
      </c>
      <c r="L21" s="532">
        <v>9798498</v>
      </c>
      <c r="M21" s="325">
        <f t="shared" ref="M21:M23" si="10">(K21+L21)*$N$8</f>
        <v>501063.22882220813</v>
      </c>
      <c r="N21" s="325">
        <f t="shared" si="0"/>
        <v>570858.00044172001</v>
      </c>
      <c r="O21" s="1"/>
    </row>
    <row r="22" spans="1:15" ht="14.5" x14ac:dyDescent="0.35">
      <c r="A22" s="169">
        <v>12</v>
      </c>
      <c r="B22" s="169">
        <f t="shared" si="2"/>
        <v>2026</v>
      </c>
      <c r="C22" s="554">
        <f>0</f>
        <v>0</v>
      </c>
      <c r="D22" s="549">
        <f t="shared" si="4"/>
        <v>12820.859999999999</v>
      </c>
      <c r="E22" s="325">
        <f t="shared" si="8"/>
        <v>4086.18</v>
      </c>
      <c r="F22" s="549">
        <f t="shared" si="5"/>
        <v>21162.835428824659</v>
      </c>
      <c r="G22" s="549">
        <f t="shared" si="6"/>
        <v>10684.05</v>
      </c>
      <c r="H22" s="325">
        <f t="shared" si="9"/>
        <v>3405.15</v>
      </c>
      <c r="I22" s="549">
        <f t="shared" si="7"/>
        <v>17635.696190687217</v>
      </c>
      <c r="J22" s="96" t="s">
        <v>120</v>
      </c>
      <c r="K22" s="531">
        <v>1386931.1299374769</v>
      </c>
      <c r="L22" s="532">
        <v>9798498</v>
      </c>
      <c r="M22" s="325">
        <f t="shared" si="10"/>
        <v>499925.51683284657</v>
      </c>
      <c r="N22" s="325">
        <f t="shared" si="0"/>
        <v>569720.28845235845</v>
      </c>
      <c r="O22" s="1"/>
    </row>
    <row r="23" spans="1:15" ht="14.5" x14ac:dyDescent="0.35">
      <c r="A23" s="169">
        <v>13</v>
      </c>
      <c r="B23" s="169">
        <f t="shared" si="2"/>
        <v>2027</v>
      </c>
      <c r="C23" s="554">
        <f>0</f>
        <v>0</v>
      </c>
      <c r="D23" s="549">
        <f t="shared" si="4"/>
        <v>12820.859999999999</v>
      </c>
      <c r="E23" s="325">
        <f t="shared" si="8"/>
        <v>4086.18</v>
      </c>
      <c r="F23" s="549">
        <f t="shared" si="5"/>
        <v>21162.835428824659</v>
      </c>
      <c r="G23" s="549">
        <f t="shared" si="6"/>
        <v>10684.05</v>
      </c>
      <c r="H23" s="325">
        <f t="shared" si="9"/>
        <v>3405.15</v>
      </c>
      <c r="I23" s="549">
        <f t="shared" si="7"/>
        <v>17635.696190687217</v>
      </c>
      <c r="J23" s="96" t="s">
        <v>120</v>
      </c>
      <c r="K23" s="531">
        <v>1318926.1366430144</v>
      </c>
      <c r="L23" s="532">
        <v>8387514.2879999988</v>
      </c>
      <c r="M23" s="325">
        <f t="shared" si="10"/>
        <v>433823.07370839483</v>
      </c>
      <c r="N23" s="325">
        <f t="shared" si="0"/>
        <v>503617.84532790672</v>
      </c>
      <c r="O23" s="1"/>
    </row>
    <row r="24" spans="1:15" ht="14.5" x14ac:dyDescent="0.35">
      <c r="A24" s="169">
        <v>14</v>
      </c>
      <c r="B24" s="169">
        <f t="shared" si="2"/>
        <v>2028</v>
      </c>
      <c r="C24" s="554">
        <v>547772</v>
      </c>
      <c r="D24" s="549">
        <f t="shared" si="4"/>
        <v>12820.859999999999</v>
      </c>
      <c r="E24" s="325">
        <f t="shared" si="8"/>
        <v>4086.18</v>
      </c>
      <c r="F24" s="549">
        <f t="shared" si="5"/>
        <v>21162.835428824659</v>
      </c>
      <c r="G24" s="549">
        <f t="shared" si="6"/>
        <v>10684.05</v>
      </c>
      <c r="H24" s="325">
        <f t="shared" si="9"/>
        <v>3405.15</v>
      </c>
      <c r="I24" s="549">
        <f t="shared" si="7"/>
        <v>17635.696190687217</v>
      </c>
      <c r="J24" s="96" t="s">
        <v>120</v>
      </c>
      <c r="K24" s="531">
        <v>1292343.3019995354</v>
      </c>
      <c r="L24" s="532">
        <v>8230738.3199999994</v>
      </c>
      <c r="M24" s="325">
        <f>(K24+L24)*$N$8</f>
        <v>425627.97067635722</v>
      </c>
      <c r="N24" s="325">
        <f t="shared" si="0"/>
        <v>1043194.7422958692</v>
      </c>
      <c r="O24" s="7"/>
    </row>
    <row r="25" spans="1:15" ht="14.5" x14ac:dyDescent="0.35">
      <c r="A25" s="169">
        <v>15</v>
      </c>
      <c r="B25" s="169">
        <f t="shared" si="2"/>
        <v>2029</v>
      </c>
      <c r="C25" s="325">
        <f>0</f>
        <v>0</v>
      </c>
      <c r="D25" s="325">
        <f t="shared" si="4"/>
        <v>12820.859999999999</v>
      </c>
      <c r="E25" s="325">
        <f>$N$4*$N$6</f>
        <v>4086.18</v>
      </c>
      <c r="F25" s="325">
        <f t="shared" si="5"/>
        <v>21162.835428824659</v>
      </c>
      <c r="G25" s="325">
        <f t="shared" si="6"/>
        <v>10684.05</v>
      </c>
      <c r="H25" s="325">
        <f>$N$4*$N$7</f>
        <v>3405.15</v>
      </c>
      <c r="I25" s="325">
        <f t="shared" si="7"/>
        <v>17635.696190687217</v>
      </c>
      <c r="J25" s="96" t="s">
        <v>120</v>
      </c>
      <c r="K25" s="533">
        <v>64396.014645525</v>
      </c>
      <c r="L25" s="534">
        <v>1567759.68</v>
      </c>
      <c r="M25" s="325">
        <f>(K25+L25)*$N$9</f>
        <v>73991.972179675911</v>
      </c>
      <c r="N25" s="325">
        <f>SUM(C25:J25,M25)</f>
        <v>143786.7437991878</v>
      </c>
      <c r="O25" s="1"/>
    </row>
    <row r="26" spans="1:15" ht="14.5" x14ac:dyDescent="0.35">
      <c r="A26" s="169">
        <v>16</v>
      </c>
      <c r="B26" s="169">
        <f t="shared" si="2"/>
        <v>2030</v>
      </c>
      <c r="C26" s="325">
        <f>0</f>
        <v>0</v>
      </c>
      <c r="D26" s="325">
        <f t="shared" ref="D26:D81" si="11">$N$3*$N$6</f>
        <v>12820.859999999999</v>
      </c>
      <c r="E26" s="325">
        <f t="shared" ref="E26:E81" si="12">$N$4*$N$6</f>
        <v>4086.18</v>
      </c>
      <c r="F26" s="325">
        <f t="shared" ref="F26:F81" si="13">$N$5*$N$6</f>
        <v>21162.835428824659</v>
      </c>
      <c r="G26" s="325">
        <f t="shared" ref="G26:G48" si="14">$N$3*$N$7</f>
        <v>10684.05</v>
      </c>
      <c r="H26" s="325">
        <f t="shared" ref="H26:H88" si="15">$N$4*$N$7</f>
        <v>3405.15</v>
      </c>
      <c r="I26" s="325">
        <f t="shared" ref="I26:I48" si="16">$N$5*$N$7</f>
        <v>17635.696190687217</v>
      </c>
      <c r="J26" s="96" t="s">
        <v>120</v>
      </c>
      <c r="K26" s="533">
        <v>63431.230036200002</v>
      </c>
      <c r="L26" s="534">
        <v>1567759.68</v>
      </c>
      <c r="M26" s="325">
        <f t="shared" si="3"/>
        <v>73948.23473709813</v>
      </c>
      <c r="N26" s="325">
        <f>SUM(C26:J26,M26)</f>
        <v>143743.00635661001</v>
      </c>
      <c r="O26" s="1"/>
    </row>
    <row r="27" spans="1:15" ht="14.5" x14ac:dyDescent="0.35">
      <c r="A27" s="169">
        <v>17</v>
      </c>
      <c r="B27" s="169">
        <f t="shared" si="2"/>
        <v>2031</v>
      </c>
      <c r="C27" s="325">
        <f>0</f>
        <v>0</v>
      </c>
      <c r="D27" s="325">
        <f t="shared" si="11"/>
        <v>12820.859999999999</v>
      </c>
      <c r="E27" s="325">
        <f t="shared" si="12"/>
        <v>4086.18</v>
      </c>
      <c r="F27" s="325">
        <f t="shared" si="13"/>
        <v>21162.835428824659</v>
      </c>
      <c r="G27" s="325">
        <f t="shared" si="14"/>
        <v>10684.05</v>
      </c>
      <c r="H27" s="325">
        <f t="shared" si="15"/>
        <v>3405.15</v>
      </c>
      <c r="I27" s="325">
        <f t="shared" si="16"/>
        <v>17635.696190687217</v>
      </c>
      <c r="J27" s="96" t="s">
        <v>120</v>
      </c>
      <c r="K27" s="533">
        <v>62466.445426875012</v>
      </c>
      <c r="L27" s="534">
        <v>1567759.68</v>
      </c>
      <c r="M27" s="325">
        <f t="shared" si="3"/>
        <v>73904.497294520348</v>
      </c>
      <c r="N27" s="325">
        <f t="shared" si="0"/>
        <v>143699.26891403223</v>
      </c>
      <c r="O27" s="1"/>
    </row>
    <row r="28" spans="1:15" ht="14.5" x14ac:dyDescent="0.35">
      <c r="A28" s="169">
        <v>18</v>
      </c>
      <c r="B28" s="169">
        <f t="shared" si="2"/>
        <v>2032</v>
      </c>
      <c r="C28" s="325">
        <f>0</f>
        <v>0</v>
      </c>
      <c r="D28" s="325">
        <f t="shared" si="11"/>
        <v>12820.859999999999</v>
      </c>
      <c r="E28" s="325">
        <f t="shared" si="12"/>
        <v>4086.18</v>
      </c>
      <c r="F28" s="325">
        <f t="shared" si="13"/>
        <v>21162.835428824659</v>
      </c>
      <c r="G28" s="325">
        <f t="shared" si="14"/>
        <v>10684.05</v>
      </c>
      <c r="H28" s="325">
        <f t="shared" si="15"/>
        <v>3405.15</v>
      </c>
      <c r="I28" s="325">
        <f t="shared" si="16"/>
        <v>17635.696190687217</v>
      </c>
      <c r="J28" s="96" t="s">
        <v>120</v>
      </c>
      <c r="K28" s="533">
        <v>61501.660817550001</v>
      </c>
      <c r="L28" s="534">
        <v>1528565.6879999998</v>
      </c>
      <c r="M28" s="325">
        <f t="shared" si="3"/>
        <v>72083.943598941492</v>
      </c>
      <c r="N28" s="325">
        <f t="shared" si="0"/>
        <v>141878.71521845338</v>
      </c>
      <c r="O28" s="1"/>
    </row>
    <row r="29" spans="1:15" ht="14.5" x14ac:dyDescent="0.35">
      <c r="A29" s="169">
        <v>19</v>
      </c>
      <c r="B29" s="169">
        <f t="shared" si="2"/>
        <v>2033</v>
      </c>
      <c r="C29" s="325">
        <f>0</f>
        <v>0</v>
      </c>
      <c r="D29" s="325">
        <f t="shared" si="11"/>
        <v>12820.859999999999</v>
      </c>
      <c r="E29" s="325">
        <f t="shared" si="12"/>
        <v>4086.18</v>
      </c>
      <c r="F29" s="325">
        <f t="shared" si="13"/>
        <v>21162.835428824659</v>
      </c>
      <c r="G29" s="325">
        <f t="shared" si="14"/>
        <v>10684.05</v>
      </c>
      <c r="H29" s="325">
        <f t="shared" si="15"/>
        <v>3405.15</v>
      </c>
      <c r="I29" s="325">
        <f t="shared" si="16"/>
        <v>17635.696190687217</v>
      </c>
      <c r="J29" s="96" t="s">
        <v>120</v>
      </c>
      <c r="K29" s="533">
        <v>60536.876208225018</v>
      </c>
      <c r="L29" s="534">
        <v>1528565.6879999998</v>
      </c>
      <c r="M29" s="325">
        <f t="shared" si="3"/>
        <v>72040.206156363711</v>
      </c>
      <c r="N29" s="325">
        <f t="shared" si="0"/>
        <v>141834.9777758756</v>
      </c>
      <c r="O29" s="1"/>
    </row>
    <row r="30" spans="1:15" ht="14.5" x14ac:dyDescent="0.35">
      <c r="A30" s="169">
        <v>20</v>
      </c>
      <c r="B30" s="169">
        <f t="shared" si="2"/>
        <v>2034</v>
      </c>
      <c r="C30" s="325">
        <f>0</f>
        <v>0</v>
      </c>
      <c r="D30" s="325">
        <f t="shared" si="11"/>
        <v>12820.859999999999</v>
      </c>
      <c r="E30" s="325">
        <f t="shared" si="12"/>
        <v>4086.18</v>
      </c>
      <c r="F30" s="325">
        <f t="shared" si="13"/>
        <v>21162.835428824659</v>
      </c>
      <c r="G30" s="325">
        <f t="shared" si="14"/>
        <v>10684.05</v>
      </c>
      <c r="H30" s="325">
        <f t="shared" si="15"/>
        <v>3405.15</v>
      </c>
      <c r="I30" s="325">
        <f t="shared" si="16"/>
        <v>17635.696190687217</v>
      </c>
      <c r="J30" s="96" t="s">
        <v>120</v>
      </c>
      <c r="K30" s="533">
        <v>59572.091598900006</v>
      </c>
      <c r="L30" s="534">
        <v>1489371.6959999998</v>
      </c>
      <c r="M30" s="325">
        <f t="shared" si="3"/>
        <v>70219.652460784841</v>
      </c>
      <c r="N30" s="325">
        <f t="shared" si="0"/>
        <v>140014.42408029671</v>
      </c>
      <c r="O30" s="1"/>
    </row>
    <row r="31" spans="1:15" ht="14.5" x14ac:dyDescent="0.35">
      <c r="A31" s="169">
        <v>21</v>
      </c>
      <c r="B31" s="169">
        <f t="shared" si="2"/>
        <v>2035</v>
      </c>
      <c r="C31" s="325">
        <f>0</f>
        <v>0</v>
      </c>
      <c r="D31" s="325">
        <f t="shared" si="11"/>
        <v>12820.859999999999</v>
      </c>
      <c r="E31" s="325">
        <f t="shared" si="12"/>
        <v>4086.18</v>
      </c>
      <c r="F31" s="325">
        <f t="shared" si="13"/>
        <v>21162.835428824659</v>
      </c>
      <c r="G31" s="325">
        <f t="shared" si="14"/>
        <v>10684.05</v>
      </c>
      <c r="H31" s="325">
        <f t="shared" si="15"/>
        <v>3405.15</v>
      </c>
      <c r="I31" s="325">
        <f t="shared" si="16"/>
        <v>17635.696190687217</v>
      </c>
      <c r="J31" s="96" t="s">
        <v>120</v>
      </c>
      <c r="K31" s="533">
        <v>58607.306989575001</v>
      </c>
      <c r="L31" s="534">
        <v>1489371.6959999998</v>
      </c>
      <c r="M31" s="325">
        <f t="shared" si="3"/>
        <v>70175.915018207059</v>
      </c>
      <c r="N31" s="325">
        <f t="shared" si="0"/>
        <v>139970.68663771893</v>
      </c>
      <c r="O31" s="1"/>
    </row>
    <row r="32" spans="1:15" ht="14.5" x14ac:dyDescent="0.35">
      <c r="A32" s="169">
        <v>22</v>
      </c>
      <c r="B32" s="169">
        <f t="shared" si="2"/>
        <v>2036</v>
      </c>
      <c r="C32" s="325">
        <f>0</f>
        <v>0</v>
      </c>
      <c r="D32" s="325">
        <f t="shared" si="11"/>
        <v>12820.859999999999</v>
      </c>
      <c r="E32" s="325">
        <f t="shared" si="12"/>
        <v>4086.18</v>
      </c>
      <c r="F32" s="325">
        <f t="shared" si="13"/>
        <v>21162.835428824659</v>
      </c>
      <c r="G32" s="325">
        <f t="shared" si="14"/>
        <v>10684.05</v>
      </c>
      <c r="H32" s="325">
        <f t="shared" si="15"/>
        <v>3405.15</v>
      </c>
      <c r="I32" s="325">
        <f t="shared" si="16"/>
        <v>17635.696190687217</v>
      </c>
      <c r="J32" s="96" t="s">
        <v>120</v>
      </c>
      <c r="K32" s="533">
        <v>57642.522380249997</v>
      </c>
      <c r="L32" s="534">
        <v>1469774.7</v>
      </c>
      <c r="M32" s="325">
        <f t="shared" si="3"/>
        <v>69243.769449128755</v>
      </c>
      <c r="N32" s="325">
        <f t="shared" si="0"/>
        <v>139038.54106864065</v>
      </c>
      <c r="O32" s="7"/>
    </row>
    <row r="33" spans="1:15" ht="14.5" x14ac:dyDescent="0.35">
      <c r="A33" s="169">
        <v>23</v>
      </c>
      <c r="B33" s="169">
        <f t="shared" si="2"/>
        <v>2037</v>
      </c>
      <c r="C33" s="325">
        <f>0</f>
        <v>0</v>
      </c>
      <c r="D33" s="325">
        <f t="shared" si="11"/>
        <v>12820.859999999999</v>
      </c>
      <c r="E33" s="325">
        <f t="shared" si="12"/>
        <v>4086.18</v>
      </c>
      <c r="F33" s="325">
        <f t="shared" si="13"/>
        <v>21162.835428824659</v>
      </c>
      <c r="G33" s="325">
        <f t="shared" si="14"/>
        <v>10684.05</v>
      </c>
      <c r="H33" s="325">
        <f t="shared" si="15"/>
        <v>3405.15</v>
      </c>
      <c r="I33" s="325">
        <f t="shared" si="16"/>
        <v>17635.696190687217</v>
      </c>
      <c r="J33" s="96" t="s">
        <v>120</v>
      </c>
      <c r="K33" s="533">
        <v>56677.737770925007</v>
      </c>
      <c r="L33" s="534">
        <v>1450177.7039999999</v>
      </c>
      <c r="M33" s="325">
        <f t="shared" si="3"/>
        <v>68311.623880050422</v>
      </c>
      <c r="N33" s="325">
        <f t="shared" si="0"/>
        <v>138106.39549956232</v>
      </c>
      <c r="O33" s="1"/>
    </row>
    <row r="34" spans="1:15" ht="14.5" x14ac:dyDescent="0.35">
      <c r="A34" s="169">
        <v>24</v>
      </c>
      <c r="B34" s="169">
        <f t="shared" si="2"/>
        <v>2038</v>
      </c>
      <c r="C34" s="325">
        <f>0</f>
        <v>0</v>
      </c>
      <c r="D34" s="325">
        <f t="shared" si="11"/>
        <v>12820.859999999999</v>
      </c>
      <c r="E34" s="325">
        <f t="shared" si="12"/>
        <v>4086.18</v>
      </c>
      <c r="F34" s="325">
        <f t="shared" si="13"/>
        <v>21162.835428824659</v>
      </c>
      <c r="G34" s="325">
        <f t="shared" si="14"/>
        <v>10684.05</v>
      </c>
      <c r="H34" s="325">
        <f t="shared" si="15"/>
        <v>3405.15</v>
      </c>
      <c r="I34" s="325">
        <f t="shared" si="16"/>
        <v>17635.696190687217</v>
      </c>
      <c r="J34" s="96" t="s">
        <v>120</v>
      </c>
      <c r="K34" s="533">
        <v>55712.953161600009</v>
      </c>
      <c r="L34" s="534">
        <v>1450177.7039999999</v>
      </c>
      <c r="M34" s="325">
        <f t="shared" si="3"/>
        <v>68267.88643747264</v>
      </c>
      <c r="N34" s="325">
        <f t="shared" si="0"/>
        <v>138062.65805698454</v>
      </c>
      <c r="O34" s="1"/>
    </row>
    <row r="35" spans="1:15" ht="14.5" x14ac:dyDescent="0.35">
      <c r="A35" s="169">
        <v>25</v>
      </c>
      <c r="B35" s="169">
        <f t="shared" si="2"/>
        <v>2039</v>
      </c>
      <c r="C35" s="325">
        <f>0</f>
        <v>0</v>
      </c>
      <c r="D35" s="325">
        <f t="shared" si="11"/>
        <v>12820.859999999999</v>
      </c>
      <c r="E35" s="325">
        <f t="shared" si="12"/>
        <v>4086.18</v>
      </c>
      <c r="F35" s="325">
        <f t="shared" si="13"/>
        <v>21162.835428824659</v>
      </c>
      <c r="G35" s="325">
        <f t="shared" si="14"/>
        <v>10684.05</v>
      </c>
      <c r="H35" s="325">
        <f t="shared" si="15"/>
        <v>3405.15</v>
      </c>
      <c r="I35" s="325">
        <f t="shared" si="16"/>
        <v>17635.696190687217</v>
      </c>
      <c r="J35" s="96" t="s">
        <v>120</v>
      </c>
      <c r="K35" s="533">
        <v>54748.168552275005</v>
      </c>
      <c r="L35" s="534">
        <v>1430580.7079999999</v>
      </c>
      <c r="M35" s="325">
        <f t="shared" si="3"/>
        <v>67335.740868394321</v>
      </c>
      <c r="N35" s="325">
        <f t="shared" si="0"/>
        <v>137130.51248790621</v>
      </c>
      <c r="O35" s="1"/>
    </row>
    <row r="36" spans="1:15" ht="14.5" x14ac:dyDescent="0.35">
      <c r="A36" s="169">
        <v>26</v>
      </c>
      <c r="B36" s="169">
        <f t="shared" si="2"/>
        <v>2040</v>
      </c>
      <c r="C36" s="325">
        <f>0</f>
        <v>0</v>
      </c>
      <c r="D36" s="325">
        <f t="shared" si="11"/>
        <v>12820.859999999999</v>
      </c>
      <c r="E36" s="325">
        <f t="shared" si="12"/>
        <v>4086.18</v>
      </c>
      <c r="F36" s="325">
        <f t="shared" si="13"/>
        <v>21162.835428824659</v>
      </c>
      <c r="G36" s="325">
        <f t="shared" si="14"/>
        <v>10684.05</v>
      </c>
      <c r="H36" s="325">
        <f t="shared" si="15"/>
        <v>3405.15</v>
      </c>
      <c r="I36" s="325">
        <f t="shared" si="16"/>
        <v>17635.696190687217</v>
      </c>
      <c r="J36" s="96" t="s">
        <v>120</v>
      </c>
      <c r="K36" s="533">
        <v>53783.383942950022</v>
      </c>
      <c r="L36" s="534">
        <v>1410983.7120000001</v>
      </c>
      <c r="M36" s="325">
        <f t="shared" si="3"/>
        <v>66403.595299316017</v>
      </c>
      <c r="N36" s="325">
        <f t="shared" si="0"/>
        <v>136198.3669188279</v>
      </c>
      <c r="O36" s="1"/>
    </row>
    <row r="37" spans="1:15" ht="14.5" x14ac:dyDescent="0.35">
      <c r="A37" s="169">
        <v>27</v>
      </c>
      <c r="B37" s="169">
        <f t="shared" si="2"/>
        <v>2041</v>
      </c>
      <c r="C37" s="325">
        <f>0</f>
        <v>0</v>
      </c>
      <c r="D37" s="325">
        <f t="shared" si="11"/>
        <v>12820.859999999999</v>
      </c>
      <c r="E37" s="325">
        <f t="shared" si="12"/>
        <v>4086.18</v>
      </c>
      <c r="F37" s="325">
        <f t="shared" si="13"/>
        <v>21162.835428824659</v>
      </c>
      <c r="G37" s="325">
        <f t="shared" si="14"/>
        <v>10684.05</v>
      </c>
      <c r="H37" s="325">
        <f t="shared" si="15"/>
        <v>3405.15</v>
      </c>
      <c r="I37" s="325">
        <f t="shared" si="16"/>
        <v>17635.696190687217</v>
      </c>
      <c r="J37" s="96" t="s">
        <v>120</v>
      </c>
      <c r="K37" s="533">
        <v>52818.59933362501</v>
      </c>
      <c r="L37" s="534">
        <v>1410983.7120000001</v>
      </c>
      <c r="M37" s="325">
        <f t="shared" si="3"/>
        <v>66359.857856738236</v>
      </c>
      <c r="N37" s="325">
        <f t="shared" si="0"/>
        <v>136154.62947625012</v>
      </c>
      <c r="O37" s="1"/>
    </row>
    <row r="38" spans="1:15" ht="14.5" x14ac:dyDescent="0.35">
      <c r="A38" s="169">
        <v>28</v>
      </c>
      <c r="B38" s="169">
        <f t="shared" si="2"/>
        <v>2042</v>
      </c>
      <c r="C38" s="325">
        <f>0</f>
        <v>0</v>
      </c>
      <c r="D38" s="325">
        <f t="shared" si="11"/>
        <v>12820.859999999999</v>
      </c>
      <c r="E38" s="325">
        <f t="shared" si="12"/>
        <v>4086.18</v>
      </c>
      <c r="F38" s="325">
        <f t="shared" si="13"/>
        <v>21162.835428824659</v>
      </c>
      <c r="G38" s="325">
        <f t="shared" si="14"/>
        <v>10684.05</v>
      </c>
      <c r="H38" s="325">
        <f t="shared" si="15"/>
        <v>3405.15</v>
      </c>
      <c r="I38" s="325">
        <f t="shared" si="16"/>
        <v>17635.696190687217</v>
      </c>
      <c r="J38" s="96" t="s">
        <v>120</v>
      </c>
      <c r="K38" s="533">
        <v>51853.814724300013</v>
      </c>
      <c r="L38" s="534">
        <v>1391386.7159999998</v>
      </c>
      <c r="M38" s="325">
        <f t="shared" si="3"/>
        <v>65427.712287659902</v>
      </c>
      <c r="N38" s="325">
        <f t="shared" si="0"/>
        <v>135222.48390717179</v>
      </c>
      <c r="O38" s="1"/>
    </row>
    <row r="39" spans="1:15" ht="14.5" x14ac:dyDescent="0.35">
      <c r="A39" s="169">
        <v>29</v>
      </c>
      <c r="B39" s="169">
        <f t="shared" si="2"/>
        <v>2043</v>
      </c>
      <c r="C39" s="325">
        <f>0</f>
        <v>0</v>
      </c>
      <c r="D39" s="325">
        <f t="shared" si="11"/>
        <v>12820.859999999999</v>
      </c>
      <c r="E39" s="325">
        <f t="shared" si="12"/>
        <v>4086.18</v>
      </c>
      <c r="F39" s="325">
        <f t="shared" si="13"/>
        <v>21162.835428824659</v>
      </c>
      <c r="G39" s="325">
        <f t="shared" si="14"/>
        <v>10684.05</v>
      </c>
      <c r="H39" s="325">
        <f t="shared" si="15"/>
        <v>3405.15</v>
      </c>
      <c r="I39" s="325">
        <f t="shared" si="16"/>
        <v>17635.696190687217</v>
      </c>
      <c r="J39" s="96" t="s">
        <v>120</v>
      </c>
      <c r="K39" s="533">
        <v>50889.030114975001</v>
      </c>
      <c r="L39" s="534">
        <v>1371789.72</v>
      </c>
      <c r="M39" s="325">
        <f t="shared" si="3"/>
        <v>64495.566718581584</v>
      </c>
      <c r="N39" s="325">
        <f t="shared" si="0"/>
        <v>134290.33833809348</v>
      </c>
      <c r="O39" s="1"/>
    </row>
    <row r="40" spans="1:15" ht="14.5" x14ac:dyDescent="0.35">
      <c r="A40" s="169">
        <v>30</v>
      </c>
      <c r="B40" s="169">
        <f t="shared" si="2"/>
        <v>2044</v>
      </c>
      <c r="C40" s="325">
        <f>0</f>
        <v>0</v>
      </c>
      <c r="D40" s="325">
        <f t="shared" si="11"/>
        <v>12820.859999999999</v>
      </c>
      <c r="E40" s="325">
        <f t="shared" si="12"/>
        <v>4086.18</v>
      </c>
      <c r="F40" s="325">
        <f t="shared" si="13"/>
        <v>21162.835428824659</v>
      </c>
      <c r="G40" s="325">
        <f t="shared" si="14"/>
        <v>10684.05</v>
      </c>
      <c r="H40" s="325">
        <f t="shared" si="15"/>
        <v>3405.15</v>
      </c>
      <c r="I40" s="325">
        <f t="shared" si="16"/>
        <v>17635.696190687217</v>
      </c>
      <c r="J40" s="96" t="s">
        <v>120</v>
      </c>
      <c r="K40" s="533">
        <v>49924.245505650004</v>
      </c>
      <c r="L40" s="534">
        <v>1352192.7239999999</v>
      </c>
      <c r="M40" s="325">
        <f t="shared" si="3"/>
        <v>63563.421149503265</v>
      </c>
      <c r="N40" s="325">
        <f t="shared" si="0"/>
        <v>133358.19276901515</v>
      </c>
      <c r="O40" s="1"/>
    </row>
    <row r="41" spans="1:15" ht="14.5" x14ac:dyDescent="0.35">
      <c r="A41" s="169">
        <v>31</v>
      </c>
      <c r="B41" s="169">
        <f t="shared" si="2"/>
        <v>2045</v>
      </c>
      <c r="C41" s="325">
        <f>0</f>
        <v>0</v>
      </c>
      <c r="D41" s="325">
        <f t="shared" si="11"/>
        <v>12820.859999999999</v>
      </c>
      <c r="E41" s="325">
        <f t="shared" si="12"/>
        <v>4086.18</v>
      </c>
      <c r="F41" s="325">
        <f t="shared" si="13"/>
        <v>21162.835428824659</v>
      </c>
      <c r="G41" s="325">
        <f t="shared" si="14"/>
        <v>10684.05</v>
      </c>
      <c r="H41" s="325">
        <f t="shared" si="15"/>
        <v>3405.15</v>
      </c>
      <c r="I41" s="325">
        <f t="shared" si="16"/>
        <v>17635.696190687217</v>
      </c>
      <c r="J41" s="96" t="s">
        <v>120</v>
      </c>
      <c r="K41" s="533">
        <v>48959.460896325007</v>
      </c>
      <c r="L41" s="534">
        <v>1352192.7239999999</v>
      </c>
      <c r="M41" s="325">
        <f t="shared" si="3"/>
        <v>63519.683706925483</v>
      </c>
      <c r="N41" s="325">
        <f t="shared" si="0"/>
        <v>133314.45532643737</v>
      </c>
      <c r="O41" s="1"/>
    </row>
    <row r="42" spans="1:15" ht="14.5" x14ac:dyDescent="0.35">
      <c r="A42" s="169">
        <v>32</v>
      </c>
      <c r="B42" s="169">
        <f t="shared" si="2"/>
        <v>2046</v>
      </c>
      <c r="C42" s="325">
        <f>0</f>
        <v>0</v>
      </c>
      <c r="D42" s="325">
        <f t="shared" si="11"/>
        <v>12820.859999999999</v>
      </c>
      <c r="E42" s="325">
        <f t="shared" si="12"/>
        <v>4086.18</v>
      </c>
      <c r="F42" s="325">
        <f t="shared" si="13"/>
        <v>21162.835428824659</v>
      </c>
      <c r="G42" s="325">
        <f t="shared" si="14"/>
        <v>10684.05</v>
      </c>
      <c r="H42" s="325">
        <f t="shared" si="15"/>
        <v>3405.15</v>
      </c>
      <c r="I42" s="325">
        <f t="shared" si="16"/>
        <v>17635.696190687217</v>
      </c>
      <c r="J42" s="96" t="s">
        <v>120</v>
      </c>
      <c r="K42" s="533">
        <v>47994.676287000002</v>
      </c>
      <c r="L42" s="534">
        <v>1332595.7279999999</v>
      </c>
      <c r="M42" s="325">
        <f t="shared" si="3"/>
        <v>62587.538137847165</v>
      </c>
      <c r="N42" s="325">
        <f t="shared" si="0"/>
        <v>132382.30975735903</v>
      </c>
      <c r="O42" s="1"/>
    </row>
    <row r="43" spans="1:15" ht="14.5" x14ac:dyDescent="0.35">
      <c r="A43" s="169">
        <v>33</v>
      </c>
      <c r="B43" s="169">
        <f t="shared" si="2"/>
        <v>2047</v>
      </c>
      <c r="C43" s="325">
        <f>0</f>
        <v>0</v>
      </c>
      <c r="D43" s="325">
        <f t="shared" si="11"/>
        <v>12820.859999999999</v>
      </c>
      <c r="E43" s="325">
        <f t="shared" si="12"/>
        <v>4086.18</v>
      </c>
      <c r="F43" s="325">
        <f t="shared" si="13"/>
        <v>21162.835428824659</v>
      </c>
      <c r="G43" s="325">
        <f t="shared" si="14"/>
        <v>10684.05</v>
      </c>
      <c r="H43" s="325">
        <f t="shared" si="15"/>
        <v>3405.15</v>
      </c>
      <c r="I43" s="325">
        <f t="shared" si="16"/>
        <v>17635.696190687217</v>
      </c>
      <c r="J43" s="96" t="s">
        <v>120</v>
      </c>
      <c r="K43" s="533">
        <v>47994.676287000002</v>
      </c>
      <c r="L43" s="534">
        <v>1332595.7279999999</v>
      </c>
      <c r="M43" s="325">
        <f t="shared" si="3"/>
        <v>62587.538137847165</v>
      </c>
      <c r="N43" s="325">
        <f t="shared" si="0"/>
        <v>132382.30975735903</v>
      </c>
      <c r="O43" s="1"/>
    </row>
    <row r="44" spans="1:15" ht="14.5" x14ac:dyDescent="0.35">
      <c r="A44" s="169">
        <v>34</v>
      </c>
      <c r="B44" s="169">
        <f t="shared" si="2"/>
        <v>2048</v>
      </c>
      <c r="C44" s="325">
        <f>0</f>
        <v>0</v>
      </c>
      <c r="D44" s="325">
        <f t="shared" si="11"/>
        <v>12820.859999999999</v>
      </c>
      <c r="E44" s="325">
        <f t="shared" si="12"/>
        <v>4086.18</v>
      </c>
      <c r="F44" s="325">
        <f t="shared" si="13"/>
        <v>21162.835428824659</v>
      </c>
      <c r="G44" s="325">
        <f t="shared" si="14"/>
        <v>10684.05</v>
      </c>
      <c r="H44" s="325">
        <f t="shared" si="15"/>
        <v>3405.15</v>
      </c>
      <c r="I44" s="325">
        <f t="shared" si="16"/>
        <v>17635.696190687217</v>
      </c>
      <c r="J44" s="96" t="s">
        <v>120</v>
      </c>
      <c r="K44" s="533">
        <v>47994.676287000002</v>
      </c>
      <c r="L44" s="534">
        <v>1332595.7279999999</v>
      </c>
      <c r="M44" s="325">
        <f t="shared" si="3"/>
        <v>62587.538137847165</v>
      </c>
      <c r="N44" s="325">
        <f t="shared" si="0"/>
        <v>132382.30975735903</v>
      </c>
      <c r="O44" s="1"/>
    </row>
    <row r="45" spans="1:15" ht="14.5" x14ac:dyDescent="0.35">
      <c r="A45" s="169">
        <v>35</v>
      </c>
      <c r="B45" s="169">
        <f t="shared" si="2"/>
        <v>2049</v>
      </c>
      <c r="C45" s="325">
        <f>0</f>
        <v>0</v>
      </c>
      <c r="D45" s="325">
        <f t="shared" si="11"/>
        <v>12820.859999999999</v>
      </c>
      <c r="E45" s="325">
        <f t="shared" si="12"/>
        <v>4086.18</v>
      </c>
      <c r="F45" s="325">
        <f t="shared" si="13"/>
        <v>21162.835428824659</v>
      </c>
      <c r="G45" s="325">
        <f t="shared" si="14"/>
        <v>10684.05</v>
      </c>
      <c r="H45" s="325">
        <f t="shared" si="15"/>
        <v>3405.15</v>
      </c>
      <c r="I45" s="325">
        <f t="shared" si="16"/>
        <v>17635.696190687217</v>
      </c>
      <c r="J45" s="96" t="s">
        <v>120</v>
      </c>
      <c r="K45" s="533">
        <v>47994.676287000002</v>
      </c>
      <c r="L45" s="534">
        <v>1332595.7279999999</v>
      </c>
      <c r="M45" s="325">
        <f t="shared" si="3"/>
        <v>62587.538137847165</v>
      </c>
      <c r="N45" s="325">
        <f t="shared" si="0"/>
        <v>132382.30975735903</v>
      </c>
      <c r="O45" s="1"/>
    </row>
    <row r="46" spans="1:15" ht="14.5" x14ac:dyDescent="0.35">
      <c r="A46" s="169">
        <v>36</v>
      </c>
      <c r="B46" s="169">
        <f t="shared" si="2"/>
        <v>2050</v>
      </c>
      <c r="C46" s="325">
        <f>0</f>
        <v>0</v>
      </c>
      <c r="D46" s="325">
        <f t="shared" si="11"/>
        <v>12820.859999999999</v>
      </c>
      <c r="E46" s="325">
        <f t="shared" si="12"/>
        <v>4086.18</v>
      </c>
      <c r="F46" s="325">
        <f t="shared" si="13"/>
        <v>21162.835428824659</v>
      </c>
      <c r="G46" s="325">
        <f t="shared" si="14"/>
        <v>10684.05</v>
      </c>
      <c r="H46" s="325">
        <f t="shared" si="15"/>
        <v>3405.15</v>
      </c>
      <c r="I46" s="325">
        <f t="shared" si="16"/>
        <v>17635.696190687217</v>
      </c>
      <c r="J46" s="96" t="s">
        <v>120</v>
      </c>
      <c r="K46" s="533">
        <v>47994.676287000002</v>
      </c>
      <c r="L46" s="534">
        <v>1312998.7320000001</v>
      </c>
      <c r="M46" s="325">
        <f t="shared" si="3"/>
        <v>61699.130011346628</v>
      </c>
      <c r="N46" s="325">
        <f t="shared" si="0"/>
        <v>131493.90163085851</v>
      </c>
      <c r="O46" s="1"/>
    </row>
    <row r="47" spans="1:15" ht="14.5" x14ac:dyDescent="0.35">
      <c r="A47" s="169">
        <v>37</v>
      </c>
      <c r="B47" s="169">
        <f t="shared" si="2"/>
        <v>2051</v>
      </c>
      <c r="C47" s="325">
        <f>0</f>
        <v>0</v>
      </c>
      <c r="D47" s="325">
        <f t="shared" si="11"/>
        <v>12820.859999999999</v>
      </c>
      <c r="E47" s="325">
        <f t="shared" si="12"/>
        <v>4086.18</v>
      </c>
      <c r="F47" s="325">
        <f t="shared" si="13"/>
        <v>21162.835428824659</v>
      </c>
      <c r="G47" s="325">
        <f t="shared" si="14"/>
        <v>10684.05</v>
      </c>
      <c r="H47" s="325">
        <f t="shared" si="15"/>
        <v>3405.15</v>
      </c>
      <c r="I47" s="325">
        <f t="shared" si="16"/>
        <v>17635.696190687217</v>
      </c>
      <c r="J47" s="96" t="s">
        <v>120</v>
      </c>
      <c r="K47" s="533">
        <v>47994.676287000002</v>
      </c>
      <c r="L47" s="534">
        <v>1312998.7320000001</v>
      </c>
      <c r="M47" s="325">
        <f t="shared" si="3"/>
        <v>61699.130011346628</v>
      </c>
      <c r="N47" s="325">
        <f t="shared" si="0"/>
        <v>131493.90163085851</v>
      </c>
      <c r="O47" s="1"/>
    </row>
    <row r="48" spans="1:15" ht="14.5" x14ac:dyDescent="0.35">
      <c r="A48" s="169">
        <v>38</v>
      </c>
      <c r="B48" s="169">
        <f t="shared" si="2"/>
        <v>2052</v>
      </c>
      <c r="C48" s="325">
        <f>0</f>
        <v>0</v>
      </c>
      <c r="D48" s="325">
        <f t="shared" si="11"/>
        <v>12820.859999999999</v>
      </c>
      <c r="E48" s="325">
        <f t="shared" si="12"/>
        <v>4086.18</v>
      </c>
      <c r="F48" s="325">
        <f t="shared" si="13"/>
        <v>21162.835428824659</v>
      </c>
      <c r="G48" s="325">
        <f t="shared" si="14"/>
        <v>10684.05</v>
      </c>
      <c r="H48" s="325">
        <f t="shared" si="15"/>
        <v>3405.15</v>
      </c>
      <c r="I48" s="325">
        <f t="shared" si="16"/>
        <v>17635.696190687217</v>
      </c>
      <c r="J48" s="96" t="s">
        <v>120</v>
      </c>
      <c r="K48" s="533">
        <v>47994.676287000002</v>
      </c>
      <c r="L48" s="534">
        <v>1312998.7320000001</v>
      </c>
      <c r="M48" s="325">
        <f t="shared" si="3"/>
        <v>61699.130011346628</v>
      </c>
      <c r="N48" s="325">
        <f t="shared" si="0"/>
        <v>131493.90163085851</v>
      </c>
      <c r="O48" s="1"/>
    </row>
    <row r="49" spans="1:15" ht="14.5" x14ac:dyDescent="0.35">
      <c r="A49" s="169">
        <v>39</v>
      </c>
      <c r="B49" s="169">
        <f t="shared" si="2"/>
        <v>2053</v>
      </c>
      <c r="C49" s="325">
        <f>0</f>
        <v>0</v>
      </c>
      <c r="D49" s="325">
        <f t="shared" si="11"/>
        <v>12820.859999999999</v>
      </c>
      <c r="E49" s="325">
        <f t="shared" si="12"/>
        <v>4086.18</v>
      </c>
      <c r="F49" s="325">
        <f t="shared" si="13"/>
        <v>21162.835428824659</v>
      </c>
      <c r="G49" s="325">
        <f t="shared" ref="G49:G80" si="17">$N$3*$N$7</f>
        <v>10684.05</v>
      </c>
      <c r="H49" s="325">
        <f t="shared" si="15"/>
        <v>3405.15</v>
      </c>
      <c r="I49" s="325">
        <f t="shared" ref="I49:I80" si="18">$N$5*$N$7</f>
        <v>17635.696190687217</v>
      </c>
      <c r="J49" s="96" t="s">
        <v>120</v>
      </c>
      <c r="K49" s="533">
        <v>47994.676287000002</v>
      </c>
      <c r="L49" s="534">
        <v>1312998.7320000001</v>
      </c>
      <c r="M49" s="325">
        <f t="shared" ref="M49:M80" si="19">(K49+L49)*$N$9</f>
        <v>61699.130011346628</v>
      </c>
      <c r="N49" s="325">
        <f t="shared" si="0"/>
        <v>131493.90163085851</v>
      </c>
      <c r="O49" s="1"/>
    </row>
    <row r="50" spans="1:15" ht="14.5" x14ac:dyDescent="0.35">
      <c r="A50" s="169">
        <v>40</v>
      </c>
      <c r="B50" s="169">
        <f t="shared" si="2"/>
        <v>2054</v>
      </c>
      <c r="C50" s="325">
        <f>0</f>
        <v>0</v>
      </c>
      <c r="D50" s="325">
        <f t="shared" si="11"/>
        <v>12820.859999999999</v>
      </c>
      <c r="E50" s="325">
        <f t="shared" si="12"/>
        <v>4086.18</v>
      </c>
      <c r="F50" s="325">
        <f t="shared" si="13"/>
        <v>21162.835428824659</v>
      </c>
      <c r="G50" s="325">
        <f t="shared" si="17"/>
        <v>10684.05</v>
      </c>
      <c r="H50" s="325">
        <f t="shared" si="15"/>
        <v>3405.15</v>
      </c>
      <c r="I50" s="325">
        <f t="shared" si="18"/>
        <v>17635.696190687217</v>
      </c>
      <c r="J50" s="96" t="s">
        <v>120</v>
      </c>
      <c r="K50" s="533">
        <v>47994.676287000002</v>
      </c>
      <c r="L50" s="534">
        <v>1293401.7359999998</v>
      </c>
      <c r="M50" s="325">
        <f t="shared" si="19"/>
        <v>60810.721884846076</v>
      </c>
      <c r="N50" s="325">
        <f t="shared" si="0"/>
        <v>130605.49350435796</v>
      </c>
      <c r="O50" s="1"/>
    </row>
    <row r="51" spans="1:15" ht="14.5" x14ac:dyDescent="0.35">
      <c r="A51" s="169">
        <v>41</v>
      </c>
      <c r="B51" s="169">
        <f t="shared" si="2"/>
        <v>2055</v>
      </c>
      <c r="C51" s="325">
        <f>0</f>
        <v>0</v>
      </c>
      <c r="D51" s="325">
        <f t="shared" si="11"/>
        <v>12820.859999999999</v>
      </c>
      <c r="E51" s="325">
        <f t="shared" si="12"/>
        <v>4086.18</v>
      </c>
      <c r="F51" s="325">
        <f t="shared" si="13"/>
        <v>21162.835428824659</v>
      </c>
      <c r="G51" s="325">
        <f t="shared" si="17"/>
        <v>10684.05</v>
      </c>
      <c r="H51" s="325">
        <f t="shared" si="15"/>
        <v>3405.15</v>
      </c>
      <c r="I51" s="325">
        <f t="shared" si="18"/>
        <v>17635.696190687217</v>
      </c>
      <c r="J51" s="96" t="s">
        <v>120</v>
      </c>
      <c r="K51" s="533">
        <v>47994.676287000002</v>
      </c>
      <c r="L51" s="534">
        <v>1293401.7359999998</v>
      </c>
      <c r="M51" s="325">
        <f t="shared" si="19"/>
        <v>60810.721884846076</v>
      </c>
      <c r="N51" s="325">
        <f t="shared" si="0"/>
        <v>130605.49350435796</v>
      </c>
      <c r="O51" s="1"/>
    </row>
    <row r="52" spans="1:15" ht="14.5" x14ac:dyDescent="0.35">
      <c r="A52" s="169">
        <v>42</v>
      </c>
      <c r="B52" s="169">
        <f t="shared" si="2"/>
        <v>2056</v>
      </c>
      <c r="C52" s="325">
        <f>0</f>
        <v>0</v>
      </c>
      <c r="D52" s="325">
        <f t="shared" si="11"/>
        <v>12820.859999999999</v>
      </c>
      <c r="E52" s="325">
        <f t="shared" si="12"/>
        <v>4086.18</v>
      </c>
      <c r="F52" s="325">
        <f t="shared" si="13"/>
        <v>21162.835428824659</v>
      </c>
      <c r="G52" s="325">
        <f t="shared" si="17"/>
        <v>10684.05</v>
      </c>
      <c r="H52" s="325">
        <f t="shared" si="15"/>
        <v>3405.15</v>
      </c>
      <c r="I52" s="325">
        <f t="shared" si="18"/>
        <v>17635.696190687217</v>
      </c>
      <c r="J52" s="96" t="s">
        <v>120</v>
      </c>
      <c r="K52" s="533">
        <v>47994.676287000002</v>
      </c>
      <c r="L52" s="534">
        <v>1293401.7359999998</v>
      </c>
      <c r="M52" s="325">
        <f t="shared" si="19"/>
        <v>60810.721884846076</v>
      </c>
      <c r="N52" s="325">
        <f t="shared" si="0"/>
        <v>130605.49350435796</v>
      </c>
      <c r="O52" s="1"/>
    </row>
    <row r="53" spans="1:15" ht="14.5" x14ac:dyDescent="0.35">
      <c r="A53" s="169">
        <v>43</v>
      </c>
      <c r="B53" s="169">
        <f t="shared" si="2"/>
        <v>2057</v>
      </c>
      <c r="C53" s="325">
        <f>0</f>
        <v>0</v>
      </c>
      <c r="D53" s="325">
        <f t="shared" si="11"/>
        <v>12820.859999999999</v>
      </c>
      <c r="E53" s="325">
        <f t="shared" si="12"/>
        <v>4086.18</v>
      </c>
      <c r="F53" s="325">
        <f t="shared" si="13"/>
        <v>21162.835428824659</v>
      </c>
      <c r="G53" s="325">
        <f t="shared" si="17"/>
        <v>10684.05</v>
      </c>
      <c r="H53" s="325">
        <f t="shared" si="15"/>
        <v>3405.15</v>
      </c>
      <c r="I53" s="325">
        <f t="shared" si="18"/>
        <v>17635.696190687217</v>
      </c>
      <c r="J53" s="96" t="s">
        <v>120</v>
      </c>
      <c r="K53" s="533">
        <v>47994.676287000002</v>
      </c>
      <c r="L53" s="534">
        <v>1293401.7359999998</v>
      </c>
      <c r="M53" s="325">
        <f t="shared" si="19"/>
        <v>60810.721884846076</v>
      </c>
      <c r="N53" s="325">
        <f t="shared" si="0"/>
        <v>130605.49350435796</v>
      </c>
      <c r="O53" s="1"/>
    </row>
    <row r="54" spans="1:15" ht="14.5" x14ac:dyDescent="0.35">
      <c r="A54" s="169">
        <v>44</v>
      </c>
      <c r="B54" s="169">
        <f t="shared" si="2"/>
        <v>2058</v>
      </c>
      <c r="C54" s="325">
        <f>0</f>
        <v>0</v>
      </c>
      <c r="D54" s="325">
        <f t="shared" si="11"/>
        <v>12820.859999999999</v>
      </c>
      <c r="E54" s="325">
        <f t="shared" si="12"/>
        <v>4086.18</v>
      </c>
      <c r="F54" s="325">
        <f t="shared" si="13"/>
        <v>21162.835428824659</v>
      </c>
      <c r="G54" s="325">
        <f t="shared" si="17"/>
        <v>10684.05</v>
      </c>
      <c r="H54" s="325">
        <f t="shared" si="15"/>
        <v>3405.15</v>
      </c>
      <c r="I54" s="325">
        <f t="shared" si="18"/>
        <v>17635.696190687217</v>
      </c>
      <c r="J54" s="611" t="s">
        <v>120</v>
      </c>
      <c r="K54" s="533">
        <v>47994.676287000002</v>
      </c>
      <c r="L54" s="533">
        <v>1293401.7359999998</v>
      </c>
      <c r="M54" s="325">
        <f t="shared" si="19"/>
        <v>60810.721884846076</v>
      </c>
      <c r="N54" s="325">
        <f t="shared" si="0"/>
        <v>130605.49350435796</v>
      </c>
      <c r="O54" s="1"/>
    </row>
    <row r="55" spans="1:15" ht="14.5" x14ac:dyDescent="0.35">
      <c r="A55" s="169">
        <v>45</v>
      </c>
      <c r="B55" s="169">
        <f t="shared" si="2"/>
        <v>2059</v>
      </c>
      <c r="C55" s="325">
        <f>0</f>
        <v>0</v>
      </c>
      <c r="D55" s="325">
        <f t="shared" si="11"/>
        <v>12820.859999999999</v>
      </c>
      <c r="E55" s="325">
        <f t="shared" si="12"/>
        <v>4086.18</v>
      </c>
      <c r="F55" s="325">
        <f t="shared" si="13"/>
        <v>21162.835428824659</v>
      </c>
      <c r="G55" s="325">
        <f t="shared" si="17"/>
        <v>10684.05</v>
      </c>
      <c r="H55" s="325">
        <f t="shared" si="15"/>
        <v>3405.15</v>
      </c>
      <c r="I55" s="325">
        <f t="shared" si="18"/>
        <v>17635.696190687217</v>
      </c>
      <c r="J55" s="611" t="s">
        <v>120</v>
      </c>
      <c r="K55" s="533">
        <v>47994.676287000002</v>
      </c>
      <c r="L55" s="533">
        <v>1293401.7359999998</v>
      </c>
      <c r="M55" s="325">
        <f t="shared" si="19"/>
        <v>60810.721884846076</v>
      </c>
      <c r="N55" s="325">
        <f t="shared" si="0"/>
        <v>130605.49350435796</v>
      </c>
      <c r="O55" s="1"/>
    </row>
    <row r="56" spans="1:15" ht="14.5" x14ac:dyDescent="0.35">
      <c r="A56" s="169">
        <v>46</v>
      </c>
      <c r="B56" s="169">
        <f t="shared" si="2"/>
        <v>2060</v>
      </c>
      <c r="C56" s="325">
        <f>0</f>
        <v>0</v>
      </c>
      <c r="D56" s="325">
        <f t="shared" si="11"/>
        <v>12820.859999999999</v>
      </c>
      <c r="E56" s="325">
        <f t="shared" si="12"/>
        <v>4086.18</v>
      </c>
      <c r="F56" s="325">
        <f t="shared" si="13"/>
        <v>21162.835428824659</v>
      </c>
      <c r="G56" s="325">
        <f t="shared" si="17"/>
        <v>10684.05</v>
      </c>
      <c r="H56" s="325">
        <f t="shared" si="15"/>
        <v>3405.15</v>
      </c>
      <c r="I56" s="325">
        <f t="shared" si="18"/>
        <v>17635.696190687217</v>
      </c>
      <c r="J56" s="96" t="s">
        <v>120</v>
      </c>
      <c r="K56" s="533">
        <v>47994.676287000002</v>
      </c>
      <c r="L56" s="534">
        <v>1273804.74</v>
      </c>
      <c r="M56" s="325">
        <f t="shared" si="19"/>
        <v>59922.313758345546</v>
      </c>
      <c r="N56" s="325">
        <f t="shared" si="0"/>
        <v>129717.08537785744</v>
      </c>
      <c r="O56" s="1"/>
    </row>
    <row r="57" spans="1:15" ht="14.5" x14ac:dyDescent="0.35">
      <c r="A57" s="169">
        <v>47</v>
      </c>
      <c r="B57" s="169">
        <f t="shared" si="2"/>
        <v>2061</v>
      </c>
      <c r="C57" s="325">
        <f>0</f>
        <v>0</v>
      </c>
      <c r="D57" s="325">
        <f t="shared" si="11"/>
        <v>12820.859999999999</v>
      </c>
      <c r="E57" s="325">
        <f t="shared" si="12"/>
        <v>4086.18</v>
      </c>
      <c r="F57" s="325">
        <f t="shared" si="13"/>
        <v>21162.835428824659</v>
      </c>
      <c r="G57" s="325">
        <f t="shared" si="17"/>
        <v>10684.05</v>
      </c>
      <c r="H57" s="325">
        <f t="shared" si="15"/>
        <v>3405.15</v>
      </c>
      <c r="I57" s="325">
        <f t="shared" si="18"/>
        <v>17635.696190687217</v>
      </c>
      <c r="J57" s="96" t="s">
        <v>120</v>
      </c>
      <c r="K57" s="533">
        <v>47994.676287000002</v>
      </c>
      <c r="L57" s="534">
        <v>1273804.74</v>
      </c>
      <c r="M57" s="325">
        <f t="shared" si="19"/>
        <v>59922.313758345546</v>
      </c>
      <c r="N57" s="325">
        <f t="shared" si="0"/>
        <v>129717.08537785744</v>
      </c>
      <c r="O57" s="1"/>
    </row>
    <row r="58" spans="1:15" ht="14.5" x14ac:dyDescent="0.35">
      <c r="A58" s="169">
        <v>48</v>
      </c>
      <c r="B58" s="169">
        <f t="shared" si="2"/>
        <v>2062</v>
      </c>
      <c r="C58" s="325">
        <f>0</f>
        <v>0</v>
      </c>
      <c r="D58" s="325">
        <f t="shared" si="11"/>
        <v>12820.859999999999</v>
      </c>
      <c r="E58" s="325">
        <f t="shared" si="12"/>
        <v>4086.18</v>
      </c>
      <c r="F58" s="325">
        <f t="shared" si="13"/>
        <v>21162.835428824659</v>
      </c>
      <c r="G58" s="325">
        <f t="shared" si="17"/>
        <v>10684.05</v>
      </c>
      <c r="H58" s="325">
        <f t="shared" si="15"/>
        <v>3405.15</v>
      </c>
      <c r="I58" s="325">
        <f t="shared" si="18"/>
        <v>17635.696190687217</v>
      </c>
      <c r="J58" s="96" t="s">
        <v>120</v>
      </c>
      <c r="K58" s="533">
        <v>47994.676287000002</v>
      </c>
      <c r="L58" s="534">
        <v>1273804.74</v>
      </c>
      <c r="M58" s="325">
        <f t="shared" si="19"/>
        <v>59922.313758345546</v>
      </c>
      <c r="N58" s="325">
        <f t="shared" si="0"/>
        <v>129717.08537785744</v>
      </c>
      <c r="O58" s="1"/>
    </row>
    <row r="59" spans="1:15" ht="14.5" x14ac:dyDescent="0.35">
      <c r="A59" s="169">
        <v>49</v>
      </c>
      <c r="B59" s="169">
        <f t="shared" si="2"/>
        <v>2063</v>
      </c>
      <c r="C59" s="325">
        <f>0</f>
        <v>0</v>
      </c>
      <c r="D59" s="325">
        <f t="shared" si="11"/>
        <v>12820.859999999999</v>
      </c>
      <c r="E59" s="325">
        <f t="shared" si="12"/>
        <v>4086.18</v>
      </c>
      <c r="F59" s="325">
        <f t="shared" si="13"/>
        <v>21162.835428824659</v>
      </c>
      <c r="G59" s="325">
        <f t="shared" si="17"/>
        <v>10684.05</v>
      </c>
      <c r="H59" s="325">
        <f t="shared" si="15"/>
        <v>3405.15</v>
      </c>
      <c r="I59" s="325">
        <f t="shared" si="18"/>
        <v>17635.696190687217</v>
      </c>
      <c r="J59" s="96" t="s">
        <v>120</v>
      </c>
      <c r="K59" s="533">
        <v>47994.676287000002</v>
      </c>
      <c r="L59" s="534">
        <v>1273804.74</v>
      </c>
      <c r="M59" s="325">
        <f t="shared" si="19"/>
        <v>59922.313758345546</v>
      </c>
      <c r="N59" s="325">
        <f t="shared" si="0"/>
        <v>129717.08537785744</v>
      </c>
      <c r="O59" s="1"/>
    </row>
    <row r="60" spans="1:15" ht="14.5" x14ac:dyDescent="0.35">
      <c r="A60" s="169">
        <v>50</v>
      </c>
      <c r="B60" s="169">
        <f t="shared" si="2"/>
        <v>2064</v>
      </c>
      <c r="C60" s="325">
        <f>0</f>
        <v>0</v>
      </c>
      <c r="D60" s="325">
        <f t="shared" si="11"/>
        <v>12820.859999999999</v>
      </c>
      <c r="E60" s="325">
        <f t="shared" si="12"/>
        <v>4086.18</v>
      </c>
      <c r="F60" s="325">
        <f t="shared" si="13"/>
        <v>21162.835428824659</v>
      </c>
      <c r="G60" s="325">
        <f t="shared" si="17"/>
        <v>10684.05</v>
      </c>
      <c r="H60" s="325">
        <f t="shared" si="15"/>
        <v>3405.15</v>
      </c>
      <c r="I60" s="325">
        <f t="shared" si="18"/>
        <v>17635.696190687217</v>
      </c>
      <c r="J60" s="96" t="s">
        <v>120</v>
      </c>
      <c r="K60" s="533">
        <v>47994.676287000002</v>
      </c>
      <c r="L60" s="534">
        <v>1273804.74</v>
      </c>
      <c r="M60" s="325">
        <f t="shared" si="19"/>
        <v>59922.313758345546</v>
      </c>
      <c r="N60" s="325">
        <f t="shared" si="0"/>
        <v>129717.08537785744</v>
      </c>
      <c r="O60" s="7"/>
    </row>
    <row r="61" spans="1:15" ht="14.5" x14ac:dyDescent="0.35">
      <c r="A61" s="169">
        <v>51</v>
      </c>
      <c r="B61" s="169">
        <f t="shared" si="2"/>
        <v>2065</v>
      </c>
      <c r="C61" s="325">
        <f>0</f>
        <v>0</v>
      </c>
      <c r="D61" s="325">
        <f t="shared" si="11"/>
        <v>12820.859999999999</v>
      </c>
      <c r="E61" s="325">
        <f t="shared" si="12"/>
        <v>4086.18</v>
      </c>
      <c r="F61" s="325">
        <f t="shared" si="13"/>
        <v>21162.835428824659</v>
      </c>
      <c r="G61" s="325">
        <f t="shared" si="17"/>
        <v>10684.05</v>
      </c>
      <c r="H61" s="325">
        <f t="shared" si="15"/>
        <v>3405.15</v>
      </c>
      <c r="I61" s="325">
        <f t="shared" si="18"/>
        <v>17635.696190687217</v>
      </c>
      <c r="J61" s="96" t="s">
        <v>120</v>
      </c>
      <c r="K61" s="533">
        <v>47994.676287000002</v>
      </c>
      <c r="L61" s="534">
        <v>1254207.7439999999</v>
      </c>
      <c r="M61" s="325">
        <f t="shared" si="19"/>
        <v>59033.905631845002</v>
      </c>
      <c r="N61" s="325">
        <f t="shared" si="0"/>
        <v>128828.67725135689</v>
      </c>
      <c r="O61" s="1"/>
    </row>
    <row r="62" spans="1:15" ht="14.5" x14ac:dyDescent="0.35">
      <c r="A62" s="169">
        <v>52</v>
      </c>
      <c r="B62" s="169">
        <f t="shared" si="2"/>
        <v>2066</v>
      </c>
      <c r="C62" s="325">
        <f>0</f>
        <v>0</v>
      </c>
      <c r="D62" s="325">
        <f t="shared" si="11"/>
        <v>12820.859999999999</v>
      </c>
      <c r="E62" s="325">
        <f t="shared" si="12"/>
        <v>4086.18</v>
      </c>
      <c r="F62" s="325">
        <f t="shared" si="13"/>
        <v>21162.835428824659</v>
      </c>
      <c r="G62" s="325">
        <f t="shared" si="17"/>
        <v>10684.05</v>
      </c>
      <c r="H62" s="325">
        <f t="shared" si="15"/>
        <v>3405.15</v>
      </c>
      <c r="I62" s="325">
        <f t="shared" si="18"/>
        <v>17635.696190687217</v>
      </c>
      <c r="J62" s="96" t="s">
        <v>120</v>
      </c>
      <c r="K62" s="533">
        <v>47994.676287000002</v>
      </c>
      <c r="L62" s="534">
        <v>1254207.7439999999</v>
      </c>
      <c r="M62" s="325">
        <f t="shared" si="19"/>
        <v>59033.905631845002</v>
      </c>
      <c r="N62" s="325">
        <f t="shared" si="0"/>
        <v>128828.67725135689</v>
      </c>
      <c r="O62" s="1"/>
    </row>
    <row r="63" spans="1:15" ht="14.5" x14ac:dyDescent="0.35">
      <c r="A63" s="169">
        <v>53</v>
      </c>
      <c r="B63" s="169">
        <f t="shared" si="2"/>
        <v>2067</v>
      </c>
      <c r="C63" s="325">
        <f>0</f>
        <v>0</v>
      </c>
      <c r="D63" s="325">
        <f t="shared" si="11"/>
        <v>12820.859999999999</v>
      </c>
      <c r="E63" s="325">
        <f t="shared" si="12"/>
        <v>4086.18</v>
      </c>
      <c r="F63" s="325">
        <f t="shared" si="13"/>
        <v>21162.835428824659</v>
      </c>
      <c r="G63" s="325">
        <f t="shared" si="17"/>
        <v>10684.05</v>
      </c>
      <c r="H63" s="325">
        <f t="shared" si="15"/>
        <v>3405.15</v>
      </c>
      <c r="I63" s="325">
        <f t="shared" si="18"/>
        <v>17635.696190687217</v>
      </c>
      <c r="J63" s="96" t="s">
        <v>120</v>
      </c>
      <c r="K63" s="533">
        <v>47994.676287000002</v>
      </c>
      <c r="L63" s="534">
        <v>1254207.7439999999</v>
      </c>
      <c r="M63" s="325">
        <f t="shared" si="19"/>
        <v>59033.905631845002</v>
      </c>
      <c r="N63" s="325">
        <f t="shared" si="0"/>
        <v>128828.67725135689</v>
      </c>
      <c r="O63" s="1"/>
    </row>
    <row r="64" spans="1:15" ht="14.5" x14ac:dyDescent="0.35">
      <c r="A64" s="169">
        <v>54</v>
      </c>
      <c r="B64" s="169">
        <f t="shared" si="2"/>
        <v>2068</v>
      </c>
      <c r="C64" s="325">
        <f>0</f>
        <v>0</v>
      </c>
      <c r="D64" s="325">
        <f t="shared" si="11"/>
        <v>12820.859999999999</v>
      </c>
      <c r="E64" s="325">
        <f t="shared" si="12"/>
        <v>4086.18</v>
      </c>
      <c r="F64" s="325">
        <f t="shared" si="13"/>
        <v>21162.835428824659</v>
      </c>
      <c r="G64" s="325">
        <f t="shared" si="17"/>
        <v>10684.05</v>
      </c>
      <c r="H64" s="325">
        <f t="shared" si="15"/>
        <v>3405.15</v>
      </c>
      <c r="I64" s="325">
        <f t="shared" si="18"/>
        <v>17635.696190687217</v>
      </c>
      <c r="J64" s="96" t="s">
        <v>120</v>
      </c>
      <c r="K64" s="533">
        <v>47994.676287000002</v>
      </c>
      <c r="L64" s="534">
        <v>1254207.7439999999</v>
      </c>
      <c r="M64" s="325">
        <f t="shared" si="19"/>
        <v>59033.905631845002</v>
      </c>
      <c r="N64" s="325">
        <f t="shared" si="0"/>
        <v>128828.67725135689</v>
      </c>
      <c r="O64" s="1"/>
    </row>
    <row r="65" spans="1:15" ht="14.5" x14ac:dyDescent="0.35">
      <c r="A65" s="169">
        <v>55</v>
      </c>
      <c r="B65" s="169">
        <f t="shared" si="2"/>
        <v>2069</v>
      </c>
      <c r="C65" s="325">
        <f>0</f>
        <v>0</v>
      </c>
      <c r="D65" s="325">
        <f t="shared" si="11"/>
        <v>12820.859999999999</v>
      </c>
      <c r="E65" s="325">
        <f t="shared" si="12"/>
        <v>4086.18</v>
      </c>
      <c r="F65" s="325">
        <f t="shared" si="13"/>
        <v>21162.835428824659</v>
      </c>
      <c r="G65" s="325">
        <f t="shared" si="17"/>
        <v>10684.05</v>
      </c>
      <c r="H65" s="325">
        <f t="shared" si="15"/>
        <v>3405.15</v>
      </c>
      <c r="I65" s="325">
        <f t="shared" si="18"/>
        <v>17635.696190687217</v>
      </c>
      <c r="J65" s="96" t="s">
        <v>120</v>
      </c>
      <c r="K65" s="533">
        <v>47994.676287000002</v>
      </c>
      <c r="L65" s="534">
        <v>1254207.7439999999</v>
      </c>
      <c r="M65" s="325">
        <f t="shared" si="19"/>
        <v>59033.905631845002</v>
      </c>
      <c r="N65" s="325">
        <f t="shared" si="0"/>
        <v>128828.67725135689</v>
      </c>
      <c r="O65" s="1"/>
    </row>
    <row r="66" spans="1:15" ht="14.5" x14ac:dyDescent="0.35">
      <c r="A66" s="169">
        <v>56</v>
      </c>
      <c r="B66" s="169">
        <f t="shared" si="2"/>
        <v>2070</v>
      </c>
      <c r="C66" s="325">
        <f>0</f>
        <v>0</v>
      </c>
      <c r="D66" s="325">
        <f t="shared" si="11"/>
        <v>12820.859999999999</v>
      </c>
      <c r="E66" s="325">
        <f t="shared" si="12"/>
        <v>4086.18</v>
      </c>
      <c r="F66" s="325">
        <f t="shared" si="13"/>
        <v>21162.835428824659</v>
      </c>
      <c r="G66" s="325">
        <f t="shared" si="17"/>
        <v>10684.05</v>
      </c>
      <c r="H66" s="325">
        <f t="shared" si="15"/>
        <v>3405.15</v>
      </c>
      <c r="I66" s="325">
        <f t="shared" si="18"/>
        <v>17635.696190687217</v>
      </c>
      <c r="J66" s="96" t="s">
        <v>120</v>
      </c>
      <c r="K66" s="533">
        <v>47994.676287000002</v>
      </c>
      <c r="L66" s="534">
        <v>1254207.7439999999</v>
      </c>
      <c r="M66" s="325">
        <f t="shared" si="19"/>
        <v>59033.905631845002</v>
      </c>
      <c r="N66" s="325">
        <f t="shared" si="0"/>
        <v>128828.67725135689</v>
      </c>
      <c r="O66" s="1"/>
    </row>
    <row r="67" spans="1:15" ht="14.5" x14ac:dyDescent="0.35">
      <c r="A67" s="169">
        <v>57</v>
      </c>
      <c r="B67" s="169">
        <f t="shared" si="2"/>
        <v>2071</v>
      </c>
      <c r="C67" s="325">
        <f>0</f>
        <v>0</v>
      </c>
      <c r="D67" s="325">
        <f t="shared" si="11"/>
        <v>12820.859999999999</v>
      </c>
      <c r="E67" s="325">
        <f t="shared" si="12"/>
        <v>4086.18</v>
      </c>
      <c r="F67" s="325">
        <f t="shared" si="13"/>
        <v>21162.835428824659</v>
      </c>
      <c r="G67" s="325">
        <f t="shared" si="17"/>
        <v>10684.05</v>
      </c>
      <c r="H67" s="325">
        <f t="shared" si="15"/>
        <v>3405.15</v>
      </c>
      <c r="I67" s="325">
        <f t="shared" si="18"/>
        <v>17635.696190687217</v>
      </c>
      <c r="J67" s="96" t="s">
        <v>120</v>
      </c>
      <c r="K67" s="533">
        <v>47994.676287000002</v>
      </c>
      <c r="L67" s="534">
        <v>1254207.7439999999</v>
      </c>
      <c r="M67" s="325">
        <f t="shared" si="19"/>
        <v>59033.905631845002</v>
      </c>
      <c r="N67" s="325">
        <f t="shared" si="0"/>
        <v>128828.67725135689</v>
      </c>
      <c r="O67" s="1"/>
    </row>
    <row r="68" spans="1:15" ht="14.5" x14ac:dyDescent="0.35">
      <c r="A68" s="169">
        <v>58</v>
      </c>
      <c r="B68" s="169">
        <f t="shared" si="2"/>
        <v>2072</v>
      </c>
      <c r="C68" s="325">
        <f>0</f>
        <v>0</v>
      </c>
      <c r="D68" s="325">
        <f t="shared" si="11"/>
        <v>12820.859999999999</v>
      </c>
      <c r="E68" s="325">
        <f t="shared" si="12"/>
        <v>4086.18</v>
      </c>
      <c r="F68" s="325">
        <f t="shared" si="13"/>
        <v>21162.835428824659</v>
      </c>
      <c r="G68" s="325">
        <f t="shared" si="17"/>
        <v>10684.05</v>
      </c>
      <c r="H68" s="325">
        <f t="shared" si="15"/>
        <v>3405.15</v>
      </c>
      <c r="I68" s="325">
        <f t="shared" si="18"/>
        <v>17635.696190687217</v>
      </c>
      <c r="J68" s="96" t="s">
        <v>120</v>
      </c>
      <c r="K68" s="533">
        <v>47994.676287000002</v>
      </c>
      <c r="L68" s="534">
        <v>1234610.7479999999</v>
      </c>
      <c r="M68" s="325">
        <f t="shared" si="19"/>
        <v>58145.497505344458</v>
      </c>
      <c r="N68" s="325">
        <f t="shared" si="0"/>
        <v>127940.26912485634</v>
      </c>
      <c r="O68" s="1"/>
    </row>
    <row r="69" spans="1:15" ht="14.5" x14ac:dyDescent="0.35">
      <c r="A69" s="169">
        <v>59</v>
      </c>
      <c r="B69" s="169">
        <f t="shared" si="2"/>
        <v>2073</v>
      </c>
      <c r="C69" s="325">
        <f>0</f>
        <v>0</v>
      </c>
      <c r="D69" s="325">
        <f t="shared" si="11"/>
        <v>12820.859999999999</v>
      </c>
      <c r="E69" s="325">
        <f t="shared" si="12"/>
        <v>4086.18</v>
      </c>
      <c r="F69" s="325">
        <f t="shared" si="13"/>
        <v>21162.835428824659</v>
      </c>
      <c r="G69" s="325">
        <f t="shared" si="17"/>
        <v>10684.05</v>
      </c>
      <c r="H69" s="325">
        <f t="shared" si="15"/>
        <v>3405.15</v>
      </c>
      <c r="I69" s="325">
        <f t="shared" si="18"/>
        <v>17635.696190687217</v>
      </c>
      <c r="J69" s="96" t="s">
        <v>120</v>
      </c>
      <c r="K69" s="533">
        <v>47994.676287000002</v>
      </c>
      <c r="L69" s="534">
        <v>1234610.7479999999</v>
      </c>
      <c r="M69" s="325">
        <f t="shared" si="19"/>
        <v>58145.497505344458</v>
      </c>
      <c r="N69" s="325">
        <f t="shared" si="0"/>
        <v>127940.26912485634</v>
      </c>
      <c r="O69" s="1"/>
    </row>
    <row r="70" spans="1:15" ht="14.5" x14ac:dyDescent="0.35">
      <c r="A70" s="169">
        <v>60</v>
      </c>
      <c r="B70" s="169">
        <f t="shared" si="2"/>
        <v>2074</v>
      </c>
      <c r="C70" s="325">
        <f>0</f>
        <v>0</v>
      </c>
      <c r="D70" s="325">
        <f t="shared" si="11"/>
        <v>12820.859999999999</v>
      </c>
      <c r="E70" s="325">
        <f t="shared" si="12"/>
        <v>4086.18</v>
      </c>
      <c r="F70" s="325">
        <f t="shared" si="13"/>
        <v>21162.835428824659</v>
      </c>
      <c r="G70" s="325">
        <f t="shared" si="17"/>
        <v>10684.05</v>
      </c>
      <c r="H70" s="325">
        <f t="shared" si="15"/>
        <v>3405.15</v>
      </c>
      <c r="I70" s="325">
        <f t="shared" si="18"/>
        <v>17635.696190687217</v>
      </c>
      <c r="J70" s="96" t="s">
        <v>120</v>
      </c>
      <c r="K70" s="533">
        <v>47994.676287000002</v>
      </c>
      <c r="L70" s="534">
        <v>1234610.7479999999</v>
      </c>
      <c r="M70" s="325">
        <f t="shared" si="19"/>
        <v>58145.497505344458</v>
      </c>
      <c r="N70" s="325">
        <f t="shared" si="0"/>
        <v>127940.26912485634</v>
      </c>
      <c r="O70" s="1"/>
    </row>
    <row r="71" spans="1:15" ht="14.5" x14ac:dyDescent="0.35">
      <c r="A71" s="169">
        <v>61</v>
      </c>
      <c r="B71" s="169">
        <f t="shared" si="2"/>
        <v>2075</v>
      </c>
      <c r="C71" s="325">
        <f>0</f>
        <v>0</v>
      </c>
      <c r="D71" s="325">
        <f t="shared" si="11"/>
        <v>12820.859999999999</v>
      </c>
      <c r="E71" s="325">
        <f t="shared" si="12"/>
        <v>4086.18</v>
      </c>
      <c r="F71" s="325">
        <f t="shared" si="13"/>
        <v>21162.835428824659</v>
      </c>
      <c r="G71" s="325">
        <f t="shared" si="17"/>
        <v>10684.05</v>
      </c>
      <c r="H71" s="325">
        <f t="shared" si="15"/>
        <v>3405.15</v>
      </c>
      <c r="I71" s="325">
        <f t="shared" si="18"/>
        <v>17635.696190687217</v>
      </c>
      <c r="J71" s="96" t="s">
        <v>120</v>
      </c>
      <c r="K71" s="533">
        <v>47994.676287000002</v>
      </c>
      <c r="L71" s="534">
        <v>1234610.7479999999</v>
      </c>
      <c r="M71" s="325">
        <f t="shared" si="19"/>
        <v>58145.497505344458</v>
      </c>
      <c r="N71" s="325">
        <f t="shared" si="0"/>
        <v>127940.26912485634</v>
      </c>
      <c r="O71" s="1"/>
    </row>
    <row r="72" spans="1:15" ht="14.5" x14ac:dyDescent="0.35">
      <c r="A72" s="169">
        <v>62</v>
      </c>
      <c r="B72" s="169">
        <f t="shared" si="2"/>
        <v>2076</v>
      </c>
      <c r="C72" s="325">
        <f>0</f>
        <v>0</v>
      </c>
      <c r="D72" s="325">
        <f t="shared" si="11"/>
        <v>12820.859999999999</v>
      </c>
      <c r="E72" s="325">
        <f t="shared" si="12"/>
        <v>4086.18</v>
      </c>
      <c r="F72" s="325">
        <f t="shared" si="13"/>
        <v>21162.835428824659</v>
      </c>
      <c r="G72" s="325">
        <f t="shared" si="17"/>
        <v>10684.05</v>
      </c>
      <c r="H72" s="325">
        <f t="shared" si="15"/>
        <v>3405.15</v>
      </c>
      <c r="I72" s="325">
        <f t="shared" si="18"/>
        <v>17635.696190687217</v>
      </c>
      <c r="J72" s="96" t="s">
        <v>120</v>
      </c>
      <c r="K72" s="533">
        <v>47994.676287000002</v>
      </c>
      <c r="L72" s="534">
        <v>1234610.7479999999</v>
      </c>
      <c r="M72" s="325">
        <f t="shared" si="19"/>
        <v>58145.497505344458</v>
      </c>
      <c r="N72" s="325">
        <f t="shared" si="0"/>
        <v>127940.26912485634</v>
      </c>
      <c r="O72" s="1"/>
    </row>
    <row r="73" spans="1:15" ht="14.5" x14ac:dyDescent="0.35">
      <c r="A73" s="169">
        <v>63</v>
      </c>
      <c r="B73" s="169">
        <f t="shared" si="2"/>
        <v>2077</v>
      </c>
      <c r="C73" s="325">
        <f>0</f>
        <v>0</v>
      </c>
      <c r="D73" s="325">
        <f t="shared" si="11"/>
        <v>12820.859999999999</v>
      </c>
      <c r="E73" s="325">
        <f t="shared" si="12"/>
        <v>4086.18</v>
      </c>
      <c r="F73" s="325">
        <f t="shared" si="13"/>
        <v>21162.835428824659</v>
      </c>
      <c r="G73" s="325">
        <f t="shared" si="17"/>
        <v>10684.05</v>
      </c>
      <c r="H73" s="325">
        <f t="shared" si="15"/>
        <v>3405.15</v>
      </c>
      <c r="I73" s="325">
        <f t="shared" si="18"/>
        <v>17635.696190687217</v>
      </c>
      <c r="J73" s="96" t="s">
        <v>120</v>
      </c>
      <c r="K73" s="533">
        <v>47994.676287000002</v>
      </c>
      <c r="L73" s="534">
        <v>1234610.7479999999</v>
      </c>
      <c r="M73" s="325">
        <f t="shared" si="19"/>
        <v>58145.497505344458</v>
      </c>
      <c r="N73" s="325">
        <f t="shared" si="0"/>
        <v>127940.26912485634</v>
      </c>
      <c r="O73" s="1"/>
    </row>
    <row r="74" spans="1:15" ht="14.5" x14ac:dyDescent="0.35">
      <c r="A74" s="169">
        <v>64</v>
      </c>
      <c r="B74" s="169">
        <f t="shared" si="2"/>
        <v>2078</v>
      </c>
      <c r="C74" s="325">
        <f>0</f>
        <v>0</v>
      </c>
      <c r="D74" s="325">
        <f t="shared" si="11"/>
        <v>12820.859999999999</v>
      </c>
      <c r="E74" s="325">
        <f t="shared" si="12"/>
        <v>4086.18</v>
      </c>
      <c r="F74" s="325">
        <f t="shared" si="13"/>
        <v>21162.835428824659</v>
      </c>
      <c r="G74" s="325">
        <f t="shared" si="17"/>
        <v>10684.05</v>
      </c>
      <c r="H74" s="325">
        <f t="shared" si="15"/>
        <v>3405.15</v>
      </c>
      <c r="I74" s="325">
        <f t="shared" si="18"/>
        <v>17635.696190687217</v>
      </c>
      <c r="J74" s="96" t="s">
        <v>120</v>
      </c>
      <c r="K74" s="533">
        <v>47994.676287000002</v>
      </c>
      <c r="L74" s="534">
        <v>1234610.7479999999</v>
      </c>
      <c r="M74" s="325">
        <f t="shared" si="19"/>
        <v>58145.497505344458</v>
      </c>
      <c r="N74" s="325">
        <f t="shared" si="0"/>
        <v>127940.26912485634</v>
      </c>
      <c r="O74" s="1"/>
    </row>
    <row r="75" spans="1:15" ht="14.5" x14ac:dyDescent="0.35">
      <c r="A75" s="169">
        <v>65</v>
      </c>
      <c r="B75" s="169">
        <f t="shared" si="2"/>
        <v>2079</v>
      </c>
      <c r="C75" s="325">
        <f>0</f>
        <v>0</v>
      </c>
      <c r="D75" s="325">
        <f t="shared" si="11"/>
        <v>12820.859999999999</v>
      </c>
      <c r="E75" s="325">
        <f t="shared" si="12"/>
        <v>4086.18</v>
      </c>
      <c r="F75" s="325">
        <f t="shared" si="13"/>
        <v>21162.835428824659</v>
      </c>
      <c r="G75" s="325">
        <f t="shared" si="17"/>
        <v>10684.05</v>
      </c>
      <c r="H75" s="325">
        <f t="shared" si="15"/>
        <v>3405.15</v>
      </c>
      <c r="I75" s="325">
        <f t="shared" si="18"/>
        <v>17635.696190687217</v>
      </c>
      <c r="J75" s="96" t="s">
        <v>120</v>
      </c>
      <c r="K75" s="533">
        <v>47994.676287000002</v>
      </c>
      <c r="L75" s="534">
        <v>1234610.7479999999</v>
      </c>
      <c r="M75" s="325">
        <f t="shared" si="19"/>
        <v>58145.497505344458</v>
      </c>
      <c r="N75" s="325">
        <f t="shared" si="0"/>
        <v>127940.26912485634</v>
      </c>
      <c r="O75" s="1"/>
    </row>
    <row r="76" spans="1:15" ht="14.5" x14ac:dyDescent="0.35">
      <c r="A76" s="169">
        <v>66</v>
      </c>
      <c r="B76" s="169">
        <f t="shared" si="2"/>
        <v>2080</v>
      </c>
      <c r="C76" s="325">
        <f>0</f>
        <v>0</v>
      </c>
      <c r="D76" s="325">
        <f t="shared" si="11"/>
        <v>12820.859999999999</v>
      </c>
      <c r="E76" s="325">
        <f t="shared" si="12"/>
        <v>4086.18</v>
      </c>
      <c r="F76" s="325">
        <f t="shared" si="13"/>
        <v>21162.835428824659</v>
      </c>
      <c r="G76" s="325">
        <f t="shared" si="17"/>
        <v>10684.05</v>
      </c>
      <c r="H76" s="325">
        <f t="shared" si="15"/>
        <v>3405.15</v>
      </c>
      <c r="I76" s="325">
        <f t="shared" si="18"/>
        <v>17635.696190687217</v>
      </c>
      <c r="J76" s="96" t="s">
        <v>120</v>
      </c>
      <c r="K76" s="533">
        <v>47994.676287000002</v>
      </c>
      <c r="L76" s="534">
        <v>1234610.7479999999</v>
      </c>
      <c r="M76" s="325">
        <f t="shared" si="19"/>
        <v>58145.497505344458</v>
      </c>
      <c r="N76" s="325">
        <f t="shared" ref="N76:N110" si="20">SUM(C76:J76,M76)</f>
        <v>127940.26912485634</v>
      </c>
      <c r="O76" s="1"/>
    </row>
    <row r="77" spans="1:15" ht="14.5" x14ac:dyDescent="0.35">
      <c r="A77" s="169">
        <v>67</v>
      </c>
      <c r="B77" s="169">
        <f t="shared" ref="B77:B110" si="21">+B76+1</f>
        <v>2081</v>
      </c>
      <c r="C77" s="325">
        <f>0</f>
        <v>0</v>
      </c>
      <c r="D77" s="325">
        <f t="shared" si="11"/>
        <v>12820.859999999999</v>
      </c>
      <c r="E77" s="325">
        <f t="shared" si="12"/>
        <v>4086.18</v>
      </c>
      <c r="F77" s="325">
        <f t="shared" si="13"/>
        <v>21162.835428824659</v>
      </c>
      <c r="G77" s="325">
        <f t="shared" si="17"/>
        <v>10684.05</v>
      </c>
      <c r="H77" s="325">
        <f t="shared" si="15"/>
        <v>3405.15</v>
      </c>
      <c r="I77" s="325">
        <f t="shared" si="18"/>
        <v>17635.696190687217</v>
      </c>
      <c r="J77" s="96" t="s">
        <v>120</v>
      </c>
      <c r="K77" s="533">
        <v>47994.676287000002</v>
      </c>
      <c r="L77" s="534">
        <v>1215013.7520000001</v>
      </c>
      <c r="M77" s="325">
        <f t="shared" si="19"/>
        <v>57257.089378843928</v>
      </c>
      <c r="N77" s="325">
        <f t="shared" si="20"/>
        <v>127051.86099835581</v>
      </c>
      <c r="O77" s="1"/>
    </row>
    <row r="78" spans="1:15" ht="14.5" x14ac:dyDescent="0.35">
      <c r="A78" s="169">
        <v>68</v>
      </c>
      <c r="B78" s="169">
        <f t="shared" si="21"/>
        <v>2082</v>
      </c>
      <c r="C78" s="325">
        <f>0</f>
        <v>0</v>
      </c>
      <c r="D78" s="325">
        <f t="shared" si="11"/>
        <v>12820.859999999999</v>
      </c>
      <c r="E78" s="325">
        <f t="shared" si="12"/>
        <v>4086.18</v>
      </c>
      <c r="F78" s="325">
        <f t="shared" si="13"/>
        <v>21162.835428824659</v>
      </c>
      <c r="G78" s="325">
        <f t="shared" si="17"/>
        <v>10684.05</v>
      </c>
      <c r="H78" s="325">
        <f t="shared" si="15"/>
        <v>3405.15</v>
      </c>
      <c r="I78" s="325">
        <f t="shared" si="18"/>
        <v>17635.696190687217</v>
      </c>
      <c r="J78" s="96" t="s">
        <v>120</v>
      </c>
      <c r="K78" s="533">
        <v>47994.676287000002</v>
      </c>
      <c r="L78" s="534">
        <v>1215013.7520000001</v>
      </c>
      <c r="M78" s="325">
        <f t="shared" si="19"/>
        <v>57257.089378843928</v>
      </c>
      <c r="N78" s="325">
        <f t="shared" si="20"/>
        <v>127051.86099835581</v>
      </c>
      <c r="O78" s="1"/>
    </row>
    <row r="79" spans="1:15" ht="14.5" x14ac:dyDescent="0.35">
      <c r="A79" s="169">
        <v>69</v>
      </c>
      <c r="B79" s="169">
        <f t="shared" si="21"/>
        <v>2083</v>
      </c>
      <c r="C79" s="325">
        <f>0</f>
        <v>0</v>
      </c>
      <c r="D79" s="325">
        <f t="shared" si="11"/>
        <v>12820.859999999999</v>
      </c>
      <c r="E79" s="325">
        <f t="shared" si="12"/>
        <v>4086.18</v>
      </c>
      <c r="F79" s="325">
        <f t="shared" si="13"/>
        <v>21162.835428824659</v>
      </c>
      <c r="G79" s="325">
        <f t="shared" si="17"/>
        <v>10684.05</v>
      </c>
      <c r="H79" s="325">
        <f t="shared" si="15"/>
        <v>3405.15</v>
      </c>
      <c r="I79" s="325">
        <f t="shared" si="18"/>
        <v>17635.696190687217</v>
      </c>
      <c r="J79" s="96" t="s">
        <v>120</v>
      </c>
      <c r="K79" s="533">
        <v>47994.676287000002</v>
      </c>
      <c r="L79" s="534">
        <v>1215013.7520000001</v>
      </c>
      <c r="M79" s="325">
        <f t="shared" si="19"/>
        <v>57257.089378843928</v>
      </c>
      <c r="N79" s="325">
        <f t="shared" si="20"/>
        <v>127051.86099835581</v>
      </c>
      <c r="O79" s="1"/>
    </row>
    <row r="80" spans="1:15" ht="14.5" x14ac:dyDescent="0.35">
      <c r="A80" s="169">
        <v>70</v>
      </c>
      <c r="B80" s="169">
        <f t="shared" si="21"/>
        <v>2084</v>
      </c>
      <c r="C80" s="325">
        <f>0</f>
        <v>0</v>
      </c>
      <c r="D80" s="325">
        <f t="shared" si="11"/>
        <v>12820.859999999999</v>
      </c>
      <c r="E80" s="325">
        <f t="shared" si="12"/>
        <v>4086.18</v>
      </c>
      <c r="F80" s="325">
        <f t="shared" si="13"/>
        <v>21162.835428824659</v>
      </c>
      <c r="G80" s="325">
        <f t="shared" si="17"/>
        <v>10684.05</v>
      </c>
      <c r="H80" s="325">
        <f t="shared" si="15"/>
        <v>3405.15</v>
      </c>
      <c r="I80" s="325">
        <f t="shared" si="18"/>
        <v>17635.696190687217</v>
      </c>
      <c r="J80" s="96" t="s">
        <v>120</v>
      </c>
      <c r="K80" s="533">
        <v>47994.676287000002</v>
      </c>
      <c r="L80" s="534">
        <v>1215013.7520000001</v>
      </c>
      <c r="M80" s="325">
        <f t="shared" si="19"/>
        <v>57257.089378843928</v>
      </c>
      <c r="N80" s="325">
        <f t="shared" si="20"/>
        <v>127051.86099835581</v>
      </c>
      <c r="O80" s="1"/>
    </row>
    <row r="81" spans="1:15" ht="14.5" x14ac:dyDescent="0.35">
      <c r="A81" s="169">
        <v>71</v>
      </c>
      <c r="B81" s="169">
        <f t="shared" si="21"/>
        <v>2085</v>
      </c>
      <c r="C81" s="325">
        <f>0</f>
        <v>0</v>
      </c>
      <c r="D81" s="325">
        <f t="shared" si="11"/>
        <v>12820.859999999999</v>
      </c>
      <c r="E81" s="325">
        <f t="shared" si="12"/>
        <v>4086.18</v>
      </c>
      <c r="F81" s="325">
        <f t="shared" si="13"/>
        <v>21162.835428824659</v>
      </c>
      <c r="G81" s="325">
        <f t="shared" ref="G81:G110" si="22">$N$3*$N$7</f>
        <v>10684.05</v>
      </c>
      <c r="H81" s="325">
        <f t="shared" si="15"/>
        <v>3405.15</v>
      </c>
      <c r="I81" s="325">
        <f t="shared" ref="I81:I110" si="23">$N$5*$N$7</f>
        <v>17635.696190687217</v>
      </c>
      <c r="J81" s="96" t="s">
        <v>120</v>
      </c>
      <c r="K81" s="533">
        <v>47994.676287000002</v>
      </c>
      <c r="L81" s="534">
        <v>1215013.7520000001</v>
      </c>
      <c r="M81" s="325">
        <f t="shared" ref="M81:M110" si="24">(K81+L81)*$N$9</f>
        <v>57257.089378843928</v>
      </c>
      <c r="N81" s="325">
        <f t="shared" si="20"/>
        <v>127051.86099835581</v>
      </c>
      <c r="O81" s="1"/>
    </row>
    <row r="82" spans="1:15" ht="14.5" x14ac:dyDescent="0.35">
      <c r="A82" s="169">
        <v>72</v>
      </c>
      <c r="B82" s="169">
        <f t="shared" si="21"/>
        <v>2086</v>
      </c>
      <c r="C82" s="325">
        <f>0</f>
        <v>0</v>
      </c>
      <c r="D82" s="325">
        <f t="shared" ref="D82:D110" si="25">$N$3*$N$6</f>
        <v>12820.859999999999</v>
      </c>
      <c r="E82" s="325">
        <f t="shared" ref="E82:E110" si="26">$N$4*$N$6</f>
        <v>4086.18</v>
      </c>
      <c r="F82" s="325">
        <f t="shared" ref="F82:F110" si="27">$N$5*$N$6</f>
        <v>21162.835428824659</v>
      </c>
      <c r="G82" s="325">
        <f t="shared" si="22"/>
        <v>10684.05</v>
      </c>
      <c r="H82" s="325">
        <f t="shared" si="15"/>
        <v>3405.15</v>
      </c>
      <c r="I82" s="325">
        <f t="shared" si="23"/>
        <v>17635.696190687217</v>
      </c>
      <c r="J82" s="96" t="s">
        <v>120</v>
      </c>
      <c r="K82" s="533">
        <v>47994.676287000002</v>
      </c>
      <c r="L82" s="534">
        <v>1215013.7520000001</v>
      </c>
      <c r="M82" s="325">
        <f t="shared" si="24"/>
        <v>57257.089378843928</v>
      </c>
      <c r="N82" s="325">
        <f t="shared" si="20"/>
        <v>127051.86099835581</v>
      </c>
      <c r="O82" s="1"/>
    </row>
    <row r="83" spans="1:15" ht="14.5" x14ac:dyDescent="0.35">
      <c r="A83" s="169">
        <v>73</v>
      </c>
      <c r="B83" s="169">
        <f t="shared" si="21"/>
        <v>2087</v>
      </c>
      <c r="C83" s="325">
        <f>0</f>
        <v>0</v>
      </c>
      <c r="D83" s="325">
        <f t="shared" si="25"/>
        <v>12820.859999999999</v>
      </c>
      <c r="E83" s="325">
        <f t="shared" si="26"/>
        <v>4086.18</v>
      </c>
      <c r="F83" s="325">
        <f t="shared" si="27"/>
        <v>21162.835428824659</v>
      </c>
      <c r="G83" s="325">
        <f t="shared" si="22"/>
        <v>10684.05</v>
      </c>
      <c r="H83" s="325">
        <f t="shared" si="15"/>
        <v>3405.15</v>
      </c>
      <c r="I83" s="325">
        <f t="shared" si="23"/>
        <v>17635.696190687217</v>
      </c>
      <c r="J83" s="96" t="s">
        <v>120</v>
      </c>
      <c r="K83" s="533">
        <v>47994.676287000002</v>
      </c>
      <c r="L83" s="534">
        <v>1215013.7520000001</v>
      </c>
      <c r="M83" s="325">
        <f t="shared" si="24"/>
        <v>57257.089378843928</v>
      </c>
      <c r="N83" s="325">
        <f t="shared" si="20"/>
        <v>127051.86099835581</v>
      </c>
      <c r="O83" s="1"/>
    </row>
    <row r="84" spans="1:15" ht="14.5" x14ac:dyDescent="0.35">
      <c r="A84" s="169">
        <v>74</v>
      </c>
      <c r="B84" s="169">
        <f t="shared" si="21"/>
        <v>2088</v>
      </c>
      <c r="C84" s="325">
        <f>0</f>
        <v>0</v>
      </c>
      <c r="D84" s="325">
        <f t="shared" si="25"/>
        <v>12820.859999999999</v>
      </c>
      <c r="E84" s="325">
        <f t="shared" si="26"/>
        <v>4086.18</v>
      </c>
      <c r="F84" s="325">
        <f t="shared" si="27"/>
        <v>21162.835428824659</v>
      </c>
      <c r="G84" s="325">
        <f t="shared" si="22"/>
        <v>10684.05</v>
      </c>
      <c r="H84" s="325">
        <f t="shared" si="15"/>
        <v>3405.15</v>
      </c>
      <c r="I84" s="325">
        <f t="shared" si="23"/>
        <v>17635.696190687217</v>
      </c>
      <c r="J84" s="96" t="s">
        <v>120</v>
      </c>
      <c r="K84" s="533">
        <v>47994.676287000002</v>
      </c>
      <c r="L84" s="534">
        <v>1215013.7520000001</v>
      </c>
      <c r="M84" s="325">
        <f t="shared" si="24"/>
        <v>57257.089378843928</v>
      </c>
      <c r="N84" s="325">
        <f t="shared" si="20"/>
        <v>127051.86099835581</v>
      </c>
      <c r="O84" s="1"/>
    </row>
    <row r="85" spans="1:15" ht="14.5" x14ac:dyDescent="0.35">
      <c r="A85" s="169">
        <v>75</v>
      </c>
      <c r="B85" s="169">
        <f t="shared" si="21"/>
        <v>2089</v>
      </c>
      <c r="C85" s="325">
        <f>0</f>
        <v>0</v>
      </c>
      <c r="D85" s="325">
        <f t="shared" si="25"/>
        <v>12820.859999999999</v>
      </c>
      <c r="E85" s="325">
        <f t="shared" si="26"/>
        <v>4086.18</v>
      </c>
      <c r="F85" s="325">
        <f t="shared" si="27"/>
        <v>21162.835428824659</v>
      </c>
      <c r="G85" s="325">
        <f t="shared" si="22"/>
        <v>10684.05</v>
      </c>
      <c r="H85" s="325">
        <f t="shared" si="15"/>
        <v>3405.15</v>
      </c>
      <c r="I85" s="325">
        <f t="shared" si="23"/>
        <v>17635.696190687217</v>
      </c>
      <c r="J85" s="96" t="s">
        <v>120</v>
      </c>
      <c r="K85" s="533">
        <v>47994.676287000002</v>
      </c>
      <c r="L85" s="534">
        <v>1215013.7520000001</v>
      </c>
      <c r="M85" s="325">
        <f t="shared" si="24"/>
        <v>57257.089378843928</v>
      </c>
      <c r="N85" s="325">
        <f t="shared" si="20"/>
        <v>127051.86099835581</v>
      </c>
      <c r="O85" s="1"/>
    </row>
    <row r="86" spans="1:15" ht="14.5" x14ac:dyDescent="0.35">
      <c r="A86" s="169">
        <v>76</v>
      </c>
      <c r="B86" s="169">
        <f t="shared" si="21"/>
        <v>2090</v>
      </c>
      <c r="C86" s="325">
        <f>0</f>
        <v>0</v>
      </c>
      <c r="D86" s="325">
        <f t="shared" si="25"/>
        <v>12820.859999999999</v>
      </c>
      <c r="E86" s="325">
        <f t="shared" si="26"/>
        <v>4086.18</v>
      </c>
      <c r="F86" s="325">
        <f t="shared" si="27"/>
        <v>21162.835428824659</v>
      </c>
      <c r="G86" s="325">
        <f t="shared" si="22"/>
        <v>10684.05</v>
      </c>
      <c r="H86" s="325">
        <f t="shared" si="15"/>
        <v>3405.15</v>
      </c>
      <c r="I86" s="325">
        <f t="shared" si="23"/>
        <v>17635.696190687217</v>
      </c>
      <c r="J86" s="96" t="s">
        <v>120</v>
      </c>
      <c r="K86" s="533">
        <v>47994.676287000002</v>
      </c>
      <c r="L86" s="534">
        <v>1215013.7520000001</v>
      </c>
      <c r="M86" s="325">
        <f t="shared" si="24"/>
        <v>57257.089378843928</v>
      </c>
      <c r="N86" s="325">
        <f t="shared" si="20"/>
        <v>127051.86099835581</v>
      </c>
      <c r="O86" s="1"/>
    </row>
    <row r="87" spans="1:15" ht="14.5" x14ac:dyDescent="0.35">
      <c r="A87" s="169">
        <v>77</v>
      </c>
      <c r="B87" s="169">
        <f t="shared" si="21"/>
        <v>2091</v>
      </c>
      <c r="C87" s="325">
        <f>0</f>
        <v>0</v>
      </c>
      <c r="D87" s="325">
        <f t="shared" si="25"/>
        <v>12820.859999999999</v>
      </c>
      <c r="E87" s="325">
        <f t="shared" si="26"/>
        <v>4086.18</v>
      </c>
      <c r="F87" s="325">
        <f t="shared" si="27"/>
        <v>21162.835428824659</v>
      </c>
      <c r="G87" s="325">
        <f t="shared" si="22"/>
        <v>10684.05</v>
      </c>
      <c r="H87" s="325">
        <f t="shared" si="15"/>
        <v>3405.15</v>
      </c>
      <c r="I87" s="325">
        <f t="shared" si="23"/>
        <v>17635.696190687217</v>
      </c>
      <c r="J87" s="96" t="s">
        <v>120</v>
      </c>
      <c r="K87" s="533">
        <v>47994.676287000002</v>
      </c>
      <c r="L87" s="534">
        <v>1215013.7520000001</v>
      </c>
      <c r="M87" s="325">
        <f t="shared" si="24"/>
        <v>57257.089378843928</v>
      </c>
      <c r="N87" s="325">
        <f t="shared" si="20"/>
        <v>127051.86099835581</v>
      </c>
      <c r="O87" s="1"/>
    </row>
    <row r="88" spans="1:15" ht="14.5" x14ac:dyDescent="0.35">
      <c r="A88" s="169">
        <v>78</v>
      </c>
      <c r="B88" s="169">
        <f t="shared" si="21"/>
        <v>2092</v>
      </c>
      <c r="C88" s="325">
        <f>0</f>
        <v>0</v>
      </c>
      <c r="D88" s="325">
        <f t="shared" si="25"/>
        <v>12820.859999999999</v>
      </c>
      <c r="E88" s="325">
        <f t="shared" si="26"/>
        <v>4086.18</v>
      </c>
      <c r="F88" s="325">
        <f t="shared" si="27"/>
        <v>21162.835428824659</v>
      </c>
      <c r="G88" s="325">
        <f t="shared" si="22"/>
        <v>10684.05</v>
      </c>
      <c r="H88" s="325">
        <f t="shared" si="15"/>
        <v>3405.15</v>
      </c>
      <c r="I88" s="325">
        <f t="shared" si="23"/>
        <v>17635.696190687217</v>
      </c>
      <c r="J88" s="96" t="s">
        <v>120</v>
      </c>
      <c r="K88" s="533">
        <v>47994.676287000002</v>
      </c>
      <c r="L88" s="534">
        <v>1215013.7520000001</v>
      </c>
      <c r="M88" s="325">
        <f t="shared" si="24"/>
        <v>57257.089378843928</v>
      </c>
      <c r="N88" s="325">
        <f t="shared" si="20"/>
        <v>127051.86099835581</v>
      </c>
      <c r="O88" s="1"/>
    </row>
    <row r="89" spans="1:15" ht="14.5" x14ac:dyDescent="0.35">
      <c r="A89" s="169">
        <v>79</v>
      </c>
      <c r="B89" s="169">
        <f t="shared" si="21"/>
        <v>2093</v>
      </c>
      <c r="C89" s="325">
        <f>0</f>
        <v>0</v>
      </c>
      <c r="D89" s="325">
        <f t="shared" si="25"/>
        <v>12820.859999999999</v>
      </c>
      <c r="E89" s="325">
        <f t="shared" si="26"/>
        <v>4086.18</v>
      </c>
      <c r="F89" s="325">
        <f t="shared" si="27"/>
        <v>21162.835428824659</v>
      </c>
      <c r="G89" s="325">
        <f t="shared" si="22"/>
        <v>10684.05</v>
      </c>
      <c r="H89" s="325">
        <f t="shared" ref="H89:H110" si="28">$N$4*$N$7</f>
        <v>3405.15</v>
      </c>
      <c r="I89" s="325">
        <f t="shared" si="23"/>
        <v>17635.696190687217</v>
      </c>
      <c r="J89" s="96" t="s">
        <v>120</v>
      </c>
      <c r="K89" s="533">
        <v>47994.676287000002</v>
      </c>
      <c r="L89" s="534">
        <v>1215013.7520000001</v>
      </c>
      <c r="M89" s="325">
        <f t="shared" si="24"/>
        <v>57257.089378843928</v>
      </c>
      <c r="N89" s="325">
        <f t="shared" si="20"/>
        <v>127051.86099835581</v>
      </c>
      <c r="O89" s="1"/>
    </row>
    <row r="90" spans="1:15" ht="14.5" x14ac:dyDescent="0.35">
      <c r="A90" s="169">
        <v>80</v>
      </c>
      <c r="B90" s="169">
        <f t="shared" si="21"/>
        <v>2094</v>
      </c>
      <c r="C90" s="325">
        <f>0</f>
        <v>0</v>
      </c>
      <c r="D90" s="325">
        <f t="shared" si="25"/>
        <v>12820.859999999999</v>
      </c>
      <c r="E90" s="325">
        <f t="shared" si="26"/>
        <v>4086.18</v>
      </c>
      <c r="F90" s="325">
        <f t="shared" si="27"/>
        <v>21162.835428824659</v>
      </c>
      <c r="G90" s="325">
        <f t="shared" si="22"/>
        <v>10684.05</v>
      </c>
      <c r="H90" s="325">
        <f t="shared" si="28"/>
        <v>3405.15</v>
      </c>
      <c r="I90" s="325">
        <f t="shared" si="23"/>
        <v>17635.696190687217</v>
      </c>
      <c r="J90" s="96" t="s">
        <v>120</v>
      </c>
      <c r="K90" s="533">
        <v>47994.676287000002</v>
      </c>
      <c r="L90" s="534">
        <v>1215013.7520000001</v>
      </c>
      <c r="M90" s="325">
        <f t="shared" si="24"/>
        <v>57257.089378843928</v>
      </c>
      <c r="N90" s="325">
        <f t="shared" si="20"/>
        <v>127051.86099835581</v>
      </c>
      <c r="O90" s="1"/>
    </row>
    <row r="91" spans="1:15" ht="14.5" x14ac:dyDescent="0.35">
      <c r="A91" s="169">
        <v>81</v>
      </c>
      <c r="B91" s="169">
        <f t="shared" si="21"/>
        <v>2095</v>
      </c>
      <c r="C91" s="325">
        <f>0</f>
        <v>0</v>
      </c>
      <c r="D91" s="325">
        <f t="shared" si="25"/>
        <v>12820.859999999999</v>
      </c>
      <c r="E91" s="325">
        <f t="shared" si="26"/>
        <v>4086.18</v>
      </c>
      <c r="F91" s="325">
        <f t="shared" si="27"/>
        <v>21162.835428824659</v>
      </c>
      <c r="G91" s="325">
        <f t="shared" si="22"/>
        <v>10684.05</v>
      </c>
      <c r="H91" s="325">
        <f t="shared" si="28"/>
        <v>3405.15</v>
      </c>
      <c r="I91" s="325">
        <f t="shared" si="23"/>
        <v>17635.696190687217</v>
      </c>
      <c r="J91" s="96" t="s">
        <v>120</v>
      </c>
      <c r="K91" s="533">
        <v>47994.676287000002</v>
      </c>
      <c r="L91" s="534">
        <v>1195416.7559999998</v>
      </c>
      <c r="M91" s="325">
        <f t="shared" si="24"/>
        <v>56368.681252343369</v>
      </c>
      <c r="N91" s="325">
        <f t="shared" si="20"/>
        <v>126163.45287185526</v>
      </c>
      <c r="O91" s="1"/>
    </row>
    <row r="92" spans="1:15" ht="14.5" x14ac:dyDescent="0.35">
      <c r="A92" s="169">
        <v>82</v>
      </c>
      <c r="B92" s="169">
        <f t="shared" si="21"/>
        <v>2096</v>
      </c>
      <c r="C92" s="325">
        <f>0</f>
        <v>0</v>
      </c>
      <c r="D92" s="325">
        <f t="shared" si="25"/>
        <v>12820.859999999999</v>
      </c>
      <c r="E92" s="325">
        <f t="shared" si="26"/>
        <v>4086.18</v>
      </c>
      <c r="F92" s="325">
        <f t="shared" si="27"/>
        <v>21162.835428824659</v>
      </c>
      <c r="G92" s="325">
        <f t="shared" si="22"/>
        <v>10684.05</v>
      </c>
      <c r="H92" s="325">
        <f t="shared" si="28"/>
        <v>3405.15</v>
      </c>
      <c r="I92" s="325">
        <f t="shared" si="23"/>
        <v>17635.696190687217</v>
      </c>
      <c r="J92" s="96" t="s">
        <v>120</v>
      </c>
      <c r="K92" s="533">
        <v>47994.676287000002</v>
      </c>
      <c r="L92" s="534">
        <v>1195416.7559999998</v>
      </c>
      <c r="M92" s="325">
        <f t="shared" si="24"/>
        <v>56368.681252343369</v>
      </c>
      <c r="N92" s="325">
        <f t="shared" si="20"/>
        <v>126163.45287185526</v>
      </c>
      <c r="O92" s="1"/>
    </row>
    <row r="93" spans="1:15" ht="14.5" x14ac:dyDescent="0.35">
      <c r="A93" s="169">
        <v>83</v>
      </c>
      <c r="B93" s="169">
        <f t="shared" si="21"/>
        <v>2097</v>
      </c>
      <c r="C93" s="325">
        <f>0</f>
        <v>0</v>
      </c>
      <c r="D93" s="325">
        <f t="shared" si="25"/>
        <v>12820.859999999999</v>
      </c>
      <c r="E93" s="325">
        <f t="shared" si="26"/>
        <v>4086.18</v>
      </c>
      <c r="F93" s="325">
        <f t="shared" si="27"/>
        <v>21162.835428824659</v>
      </c>
      <c r="G93" s="325">
        <f t="shared" si="22"/>
        <v>10684.05</v>
      </c>
      <c r="H93" s="325">
        <f t="shared" si="28"/>
        <v>3405.15</v>
      </c>
      <c r="I93" s="325">
        <f t="shared" si="23"/>
        <v>17635.696190687217</v>
      </c>
      <c r="J93" s="96" t="s">
        <v>120</v>
      </c>
      <c r="K93" s="533">
        <v>47994.676287000002</v>
      </c>
      <c r="L93" s="534">
        <v>1195416.7559999998</v>
      </c>
      <c r="M93" s="325">
        <f t="shared" si="24"/>
        <v>56368.681252343369</v>
      </c>
      <c r="N93" s="325">
        <f t="shared" si="20"/>
        <v>126163.45287185526</v>
      </c>
      <c r="O93" s="1"/>
    </row>
    <row r="94" spans="1:15" ht="14.5" x14ac:dyDescent="0.35">
      <c r="A94" s="169">
        <v>84</v>
      </c>
      <c r="B94" s="169">
        <f t="shared" si="21"/>
        <v>2098</v>
      </c>
      <c r="C94" s="325">
        <f>0</f>
        <v>0</v>
      </c>
      <c r="D94" s="325">
        <f t="shared" si="25"/>
        <v>12820.859999999999</v>
      </c>
      <c r="E94" s="325">
        <f t="shared" si="26"/>
        <v>4086.18</v>
      </c>
      <c r="F94" s="325">
        <f t="shared" si="27"/>
        <v>21162.835428824659</v>
      </c>
      <c r="G94" s="325">
        <f t="shared" si="22"/>
        <v>10684.05</v>
      </c>
      <c r="H94" s="325">
        <f t="shared" si="28"/>
        <v>3405.15</v>
      </c>
      <c r="I94" s="325">
        <f t="shared" si="23"/>
        <v>17635.696190687217</v>
      </c>
      <c r="J94" s="96" t="s">
        <v>120</v>
      </c>
      <c r="K94" s="533">
        <v>47994.676287000002</v>
      </c>
      <c r="L94" s="534">
        <v>1195416.7559999998</v>
      </c>
      <c r="M94" s="325">
        <f t="shared" si="24"/>
        <v>56368.681252343369</v>
      </c>
      <c r="N94" s="325">
        <f t="shared" si="20"/>
        <v>126163.45287185526</v>
      </c>
      <c r="O94" s="1"/>
    </row>
    <row r="95" spans="1:15" ht="14.5" x14ac:dyDescent="0.35">
      <c r="A95" s="169">
        <v>85</v>
      </c>
      <c r="B95" s="169">
        <f t="shared" si="21"/>
        <v>2099</v>
      </c>
      <c r="C95" s="325">
        <f>0</f>
        <v>0</v>
      </c>
      <c r="D95" s="325">
        <f t="shared" si="25"/>
        <v>12820.859999999999</v>
      </c>
      <c r="E95" s="325">
        <f t="shared" si="26"/>
        <v>4086.18</v>
      </c>
      <c r="F95" s="325">
        <f t="shared" si="27"/>
        <v>21162.835428824659</v>
      </c>
      <c r="G95" s="325">
        <f t="shared" si="22"/>
        <v>10684.05</v>
      </c>
      <c r="H95" s="325">
        <f t="shared" si="28"/>
        <v>3405.15</v>
      </c>
      <c r="I95" s="325">
        <f t="shared" si="23"/>
        <v>17635.696190687217</v>
      </c>
      <c r="J95" s="96" t="s">
        <v>120</v>
      </c>
      <c r="K95" s="533">
        <v>47994.676287000002</v>
      </c>
      <c r="L95" s="534">
        <v>1195416.7559999998</v>
      </c>
      <c r="M95" s="325">
        <f t="shared" si="24"/>
        <v>56368.681252343369</v>
      </c>
      <c r="N95" s="325">
        <f t="shared" si="20"/>
        <v>126163.45287185526</v>
      </c>
      <c r="O95" s="1"/>
    </row>
    <row r="96" spans="1:15" ht="14.5" x14ac:dyDescent="0.35">
      <c r="A96" s="169">
        <v>86</v>
      </c>
      <c r="B96" s="169">
        <f t="shared" si="21"/>
        <v>2100</v>
      </c>
      <c r="C96" s="325">
        <f>0</f>
        <v>0</v>
      </c>
      <c r="D96" s="325">
        <f t="shared" si="25"/>
        <v>12820.859999999999</v>
      </c>
      <c r="E96" s="325">
        <f t="shared" si="26"/>
        <v>4086.18</v>
      </c>
      <c r="F96" s="325">
        <f t="shared" si="27"/>
        <v>21162.835428824659</v>
      </c>
      <c r="G96" s="325">
        <f t="shared" si="22"/>
        <v>10684.05</v>
      </c>
      <c r="H96" s="325">
        <f t="shared" si="28"/>
        <v>3405.15</v>
      </c>
      <c r="I96" s="325">
        <f t="shared" si="23"/>
        <v>17635.696190687217</v>
      </c>
      <c r="J96" s="96" t="s">
        <v>120</v>
      </c>
      <c r="K96" s="533">
        <v>47994.676287000002</v>
      </c>
      <c r="L96" s="534">
        <v>1195416.7559999998</v>
      </c>
      <c r="M96" s="325">
        <f t="shared" si="24"/>
        <v>56368.681252343369</v>
      </c>
      <c r="N96" s="325">
        <f t="shared" si="20"/>
        <v>126163.45287185526</v>
      </c>
      <c r="O96" s="1"/>
    </row>
    <row r="97" spans="1:15" ht="14.5" x14ac:dyDescent="0.35">
      <c r="A97" s="169">
        <v>87</v>
      </c>
      <c r="B97" s="169">
        <f t="shared" si="21"/>
        <v>2101</v>
      </c>
      <c r="C97" s="325">
        <f>0</f>
        <v>0</v>
      </c>
      <c r="D97" s="325">
        <f t="shared" si="25"/>
        <v>12820.859999999999</v>
      </c>
      <c r="E97" s="325">
        <f t="shared" si="26"/>
        <v>4086.18</v>
      </c>
      <c r="F97" s="325">
        <f t="shared" si="27"/>
        <v>21162.835428824659</v>
      </c>
      <c r="G97" s="325">
        <f t="shared" si="22"/>
        <v>10684.05</v>
      </c>
      <c r="H97" s="325">
        <f t="shared" si="28"/>
        <v>3405.15</v>
      </c>
      <c r="I97" s="325">
        <f t="shared" si="23"/>
        <v>17635.696190687217</v>
      </c>
      <c r="J97" s="96" t="s">
        <v>120</v>
      </c>
      <c r="K97" s="533">
        <v>47994.676287000002</v>
      </c>
      <c r="L97" s="534">
        <v>1195416.7559999998</v>
      </c>
      <c r="M97" s="325">
        <f t="shared" si="24"/>
        <v>56368.681252343369</v>
      </c>
      <c r="N97" s="325">
        <f t="shared" si="20"/>
        <v>126163.45287185526</v>
      </c>
      <c r="O97" s="1"/>
    </row>
    <row r="98" spans="1:15" ht="14.5" x14ac:dyDescent="0.35">
      <c r="A98" s="169">
        <v>88</v>
      </c>
      <c r="B98" s="169">
        <f t="shared" si="21"/>
        <v>2102</v>
      </c>
      <c r="C98" s="325">
        <f>0</f>
        <v>0</v>
      </c>
      <c r="D98" s="325">
        <f t="shared" si="25"/>
        <v>12820.859999999999</v>
      </c>
      <c r="E98" s="325">
        <f t="shared" si="26"/>
        <v>4086.18</v>
      </c>
      <c r="F98" s="325">
        <f t="shared" si="27"/>
        <v>21162.835428824659</v>
      </c>
      <c r="G98" s="325">
        <f t="shared" si="22"/>
        <v>10684.05</v>
      </c>
      <c r="H98" s="325">
        <f t="shared" si="28"/>
        <v>3405.15</v>
      </c>
      <c r="I98" s="325">
        <f t="shared" si="23"/>
        <v>17635.696190687217</v>
      </c>
      <c r="J98" s="611" t="s">
        <v>120</v>
      </c>
      <c r="K98" s="533">
        <v>47994.676287000002</v>
      </c>
      <c r="L98" s="533">
        <v>1195416.7559999998</v>
      </c>
      <c r="M98" s="325">
        <f t="shared" si="24"/>
        <v>56368.681252343369</v>
      </c>
      <c r="N98" s="325">
        <f t="shared" si="20"/>
        <v>126163.45287185526</v>
      </c>
      <c r="O98" s="1"/>
    </row>
    <row r="99" spans="1:15" ht="14.5" x14ac:dyDescent="0.35">
      <c r="A99" s="169">
        <v>89</v>
      </c>
      <c r="B99" s="169">
        <f t="shared" si="21"/>
        <v>2103</v>
      </c>
      <c r="C99" s="325">
        <f>0</f>
        <v>0</v>
      </c>
      <c r="D99" s="325">
        <f t="shared" si="25"/>
        <v>12820.859999999999</v>
      </c>
      <c r="E99" s="325">
        <f t="shared" si="26"/>
        <v>4086.18</v>
      </c>
      <c r="F99" s="325">
        <f t="shared" si="27"/>
        <v>21162.835428824659</v>
      </c>
      <c r="G99" s="325">
        <f t="shared" si="22"/>
        <v>10684.05</v>
      </c>
      <c r="H99" s="325">
        <f t="shared" si="28"/>
        <v>3405.15</v>
      </c>
      <c r="I99" s="325">
        <f t="shared" si="23"/>
        <v>17635.696190687217</v>
      </c>
      <c r="J99" s="611" t="s">
        <v>120</v>
      </c>
      <c r="K99" s="533">
        <v>47994.676287000002</v>
      </c>
      <c r="L99" s="533">
        <v>1195416.7559999998</v>
      </c>
      <c r="M99" s="325">
        <f t="shared" si="24"/>
        <v>56368.681252343369</v>
      </c>
      <c r="N99" s="325">
        <f t="shared" si="20"/>
        <v>126163.45287185526</v>
      </c>
      <c r="O99" s="1"/>
    </row>
    <row r="100" spans="1:15" ht="14.5" x14ac:dyDescent="0.35">
      <c r="A100" s="169">
        <v>90</v>
      </c>
      <c r="B100" s="169">
        <f t="shared" si="21"/>
        <v>2104</v>
      </c>
      <c r="C100" s="325">
        <f>0</f>
        <v>0</v>
      </c>
      <c r="D100" s="325">
        <f t="shared" si="25"/>
        <v>12820.859999999999</v>
      </c>
      <c r="E100" s="325">
        <f t="shared" si="26"/>
        <v>4086.18</v>
      </c>
      <c r="F100" s="325">
        <f t="shared" si="27"/>
        <v>21162.835428824659</v>
      </c>
      <c r="G100" s="325">
        <f t="shared" si="22"/>
        <v>10684.05</v>
      </c>
      <c r="H100" s="325">
        <f t="shared" si="28"/>
        <v>3405.15</v>
      </c>
      <c r="I100" s="325">
        <f t="shared" si="23"/>
        <v>17635.696190687217</v>
      </c>
      <c r="J100" s="96" t="s">
        <v>120</v>
      </c>
      <c r="K100" s="533">
        <v>47994.676287000002</v>
      </c>
      <c r="L100" s="534">
        <v>1195416.7559999998</v>
      </c>
      <c r="M100" s="325">
        <f t="shared" si="24"/>
        <v>56368.681252343369</v>
      </c>
      <c r="N100" s="325">
        <f t="shared" si="20"/>
        <v>126163.45287185526</v>
      </c>
      <c r="O100" s="1"/>
    </row>
    <row r="101" spans="1:15" ht="14.5" x14ac:dyDescent="0.35">
      <c r="A101" s="169">
        <v>91</v>
      </c>
      <c r="B101" s="169">
        <f t="shared" si="21"/>
        <v>2105</v>
      </c>
      <c r="C101" s="325">
        <f>0</f>
        <v>0</v>
      </c>
      <c r="D101" s="325">
        <f t="shared" si="25"/>
        <v>12820.859999999999</v>
      </c>
      <c r="E101" s="325">
        <f t="shared" si="26"/>
        <v>4086.18</v>
      </c>
      <c r="F101" s="325">
        <f t="shared" si="27"/>
        <v>21162.835428824659</v>
      </c>
      <c r="G101" s="325">
        <f t="shared" si="22"/>
        <v>10684.05</v>
      </c>
      <c r="H101" s="325">
        <f t="shared" si="28"/>
        <v>3405.15</v>
      </c>
      <c r="I101" s="325">
        <f t="shared" si="23"/>
        <v>17635.696190687217</v>
      </c>
      <c r="J101" s="96" t="s">
        <v>120</v>
      </c>
      <c r="K101" s="533">
        <v>47994.676287000002</v>
      </c>
      <c r="L101" s="534">
        <v>1195416.7559999998</v>
      </c>
      <c r="M101" s="325">
        <f t="shared" si="24"/>
        <v>56368.681252343369</v>
      </c>
      <c r="N101" s="325">
        <f t="shared" si="20"/>
        <v>126163.45287185526</v>
      </c>
      <c r="O101" s="1"/>
    </row>
    <row r="102" spans="1:15" ht="14.5" x14ac:dyDescent="0.35">
      <c r="A102" s="169">
        <v>92</v>
      </c>
      <c r="B102" s="169">
        <f t="shared" si="21"/>
        <v>2106</v>
      </c>
      <c r="C102" s="325">
        <f>0</f>
        <v>0</v>
      </c>
      <c r="D102" s="325">
        <f t="shared" si="25"/>
        <v>12820.859999999999</v>
      </c>
      <c r="E102" s="325">
        <f t="shared" si="26"/>
        <v>4086.18</v>
      </c>
      <c r="F102" s="325">
        <f t="shared" si="27"/>
        <v>21162.835428824659</v>
      </c>
      <c r="G102" s="325">
        <f t="shared" si="22"/>
        <v>10684.05</v>
      </c>
      <c r="H102" s="325">
        <f t="shared" si="28"/>
        <v>3405.15</v>
      </c>
      <c r="I102" s="325">
        <f t="shared" si="23"/>
        <v>17635.696190687217</v>
      </c>
      <c r="J102" s="96" t="s">
        <v>120</v>
      </c>
      <c r="K102" s="533">
        <v>47994.676287000002</v>
      </c>
      <c r="L102" s="534">
        <v>1195416.7559999998</v>
      </c>
      <c r="M102" s="325">
        <f t="shared" si="24"/>
        <v>56368.681252343369</v>
      </c>
      <c r="N102" s="325">
        <f t="shared" si="20"/>
        <v>126163.45287185526</v>
      </c>
      <c r="O102" s="1"/>
    </row>
    <row r="103" spans="1:15" ht="14.5" x14ac:dyDescent="0.35">
      <c r="A103" s="169">
        <v>93</v>
      </c>
      <c r="B103" s="169">
        <f t="shared" si="21"/>
        <v>2107</v>
      </c>
      <c r="C103" s="325">
        <f>0</f>
        <v>0</v>
      </c>
      <c r="D103" s="325">
        <f t="shared" si="25"/>
        <v>12820.859999999999</v>
      </c>
      <c r="E103" s="325">
        <f t="shared" si="26"/>
        <v>4086.18</v>
      </c>
      <c r="F103" s="325">
        <f t="shared" si="27"/>
        <v>21162.835428824659</v>
      </c>
      <c r="G103" s="325">
        <f t="shared" si="22"/>
        <v>10684.05</v>
      </c>
      <c r="H103" s="325">
        <f t="shared" si="28"/>
        <v>3405.15</v>
      </c>
      <c r="I103" s="325">
        <f t="shared" si="23"/>
        <v>17635.696190687217</v>
      </c>
      <c r="J103" s="96" t="s">
        <v>120</v>
      </c>
      <c r="K103" s="533">
        <v>47994.676287000002</v>
      </c>
      <c r="L103" s="534">
        <v>1195416.7559999998</v>
      </c>
      <c r="M103" s="325">
        <f t="shared" si="24"/>
        <v>56368.681252343369</v>
      </c>
      <c r="N103" s="325">
        <f t="shared" si="20"/>
        <v>126163.45287185526</v>
      </c>
      <c r="O103" s="1"/>
    </row>
    <row r="104" spans="1:15" ht="14.5" x14ac:dyDescent="0.35">
      <c r="A104" s="169">
        <v>94</v>
      </c>
      <c r="B104" s="169">
        <f t="shared" si="21"/>
        <v>2108</v>
      </c>
      <c r="C104" s="325">
        <f>0</f>
        <v>0</v>
      </c>
      <c r="D104" s="325">
        <f t="shared" si="25"/>
        <v>12820.859999999999</v>
      </c>
      <c r="E104" s="325">
        <f t="shared" si="26"/>
        <v>4086.18</v>
      </c>
      <c r="F104" s="325">
        <f t="shared" si="27"/>
        <v>21162.835428824659</v>
      </c>
      <c r="G104" s="325">
        <f t="shared" si="22"/>
        <v>10684.05</v>
      </c>
      <c r="H104" s="325">
        <f t="shared" si="28"/>
        <v>3405.15</v>
      </c>
      <c r="I104" s="325">
        <f t="shared" si="23"/>
        <v>17635.696190687217</v>
      </c>
      <c r="J104" s="96" t="s">
        <v>120</v>
      </c>
      <c r="K104" s="533">
        <v>47994.676287000002</v>
      </c>
      <c r="L104" s="534">
        <v>1195416.7559999998</v>
      </c>
      <c r="M104" s="325">
        <f t="shared" si="24"/>
        <v>56368.681252343369</v>
      </c>
      <c r="N104" s="325">
        <f t="shared" si="20"/>
        <v>126163.45287185526</v>
      </c>
      <c r="O104" s="1"/>
    </row>
    <row r="105" spans="1:15" ht="14.5" x14ac:dyDescent="0.35">
      <c r="A105" s="169">
        <v>95</v>
      </c>
      <c r="B105" s="169">
        <f t="shared" si="21"/>
        <v>2109</v>
      </c>
      <c r="C105" s="325">
        <f>0</f>
        <v>0</v>
      </c>
      <c r="D105" s="325">
        <f t="shared" si="25"/>
        <v>12820.859999999999</v>
      </c>
      <c r="E105" s="325">
        <f t="shared" si="26"/>
        <v>4086.18</v>
      </c>
      <c r="F105" s="325">
        <f t="shared" si="27"/>
        <v>21162.835428824659</v>
      </c>
      <c r="G105" s="325">
        <f t="shared" si="22"/>
        <v>10684.05</v>
      </c>
      <c r="H105" s="325">
        <f t="shared" si="28"/>
        <v>3405.15</v>
      </c>
      <c r="I105" s="325">
        <f t="shared" si="23"/>
        <v>17635.696190687217</v>
      </c>
      <c r="J105" s="96" t="s">
        <v>120</v>
      </c>
      <c r="K105" s="533">
        <v>47994.676287000002</v>
      </c>
      <c r="L105" s="534">
        <v>1195416.7559999998</v>
      </c>
      <c r="M105" s="325">
        <f t="shared" si="24"/>
        <v>56368.681252343369</v>
      </c>
      <c r="N105" s="325">
        <f t="shared" si="20"/>
        <v>126163.45287185526</v>
      </c>
      <c r="O105" s="1"/>
    </row>
    <row r="106" spans="1:15" ht="14.5" x14ac:dyDescent="0.35">
      <c r="A106" s="169">
        <v>96</v>
      </c>
      <c r="B106" s="169">
        <f t="shared" si="21"/>
        <v>2110</v>
      </c>
      <c r="C106" s="325">
        <f>0</f>
        <v>0</v>
      </c>
      <c r="D106" s="325">
        <f t="shared" si="25"/>
        <v>12820.859999999999</v>
      </c>
      <c r="E106" s="325">
        <f t="shared" si="26"/>
        <v>4086.18</v>
      </c>
      <c r="F106" s="325">
        <f t="shared" si="27"/>
        <v>21162.835428824659</v>
      </c>
      <c r="G106" s="325">
        <f t="shared" si="22"/>
        <v>10684.05</v>
      </c>
      <c r="H106" s="325">
        <f t="shared" si="28"/>
        <v>3405.15</v>
      </c>
      <c r="I106" s="325">
        <f t="shared" si="23"/>
        <v>17635.696190687217</v>
      </c>
      <c r="J106" s="96" t="s">
        <v>120</v>
      </c>
      <c r="K106" s="533">
        <v>47994.676287000002</v>
      </c>
      <c r="L106" s="534">
        <v>1195416.7559999998</v>
      </c>
      <c r="M106" s="325">
        <f t="shared" si="24"/>
        <v>56368.681252343369</v>
      </c>
      <c r="N106" s="325">
        <f t="shared" si="20"/>
        <v>126163.45287185526</v>
      </c>
      <c r="O106" s="1"/>
    </row>
    <row r="107" spans="1:15" ht="14.5" x14ac:dyDescent="0.35">
      <c r="A107" s="169">
        <v>97</v>
      </c>
      <c r="B107" s="169">
        <f t="shared" si="21"/>
        <v>2111</v>
      </c>
      <c r="C107" s="325">
        <f>0</f>
        <v>0</v>
      </c>
      <c r="D107" s="325">
        <f t="shared" si="25"/>
        <v>12820.859999999999</v>
      </c>
      <c r="E107" s="325">
        <f t="shared" si="26"/>
        <v>4086.18</v>
      </c>
      <c r="F107" s="325">
        <f t="shared" si="27"/>
        <v>21162.835428824659</v>
      </c>
      <c r="G107" s="325">
        <f t="shared" si="22"/>
        <v>10684.05</v>
      </c>
      <c r="H107" s="325">
        <f t="shared" si="28"/>
        <v>3405.15</v>
      </c>
      <c r="I107" s="325">
        <f t="shared" si="23"/>
        <v>17635.696190687217</v>
      </c>
      <c r="J107" s="96" t="s">
        <v>120</v>
      </c>
      <c r="K107" s="533">
        <v>47994.676287000002</v>
      </c>
      <c r="L107" s="534">
        <v>1195416.7559999998</v>
      </c>
      <c r="M107" s="325">
        <f t="shared" si="24"/>
        <v>56368.681252343369</v>
      </c>
      <c r="N107" s="325">
        <f t="shared" si="20"/>
        <v>126163.45287185526</v>
      </c>
      <c r="O107" s="1"/>
    </row>
    <row r="108" spans="1:15" ht="14.5" x14ac:dyDescent="0.35">
      <c r="A108" s="169">
        <v>98</v>
      </c>
      <c r="B108" s="169">
        <f t="shared" si="21"/>
        <v>2112</v>
      </c>
      <c r="C108" s="325">
        <f>0</f>
        <v>0</v>
      </c>
      <c r="D108" s="325">
        <f t="shared" si="25"/>
        <v>12820.859999999999</v>
      </c>
      <c r="E108" s="325">
        <f t="shared" si="26"/>
        <v>4086.18</v>
      </c>
      <c r="F108" s="325">
        <f t="shared" si="27"/>
        <v>21162.835428824659</v>
      </c>
      <c r="G108" s="325">
        <f t="shared" si="22"/>
        <v>10684.05</v>
      </c>
      <c r="H108" s="325">
        <f t="shared" si="28"/>
        <v>3405.15</v>
      </c>
      <c r="I108" s="325">
        <f t="shared" si="23"/>
        <v>17635.696190687217</v>
      </c>
      <c r="J108" s="96" t="s">
        <v>120</v>
      </c>
      <c r="K108" s="533">
        <v>47994.676287000002</v>
      </c>
      <c r="L108" s="534">
        <v>1195416.7559999998</v>
      </c>
      <c r="M108" s="325">
        <f t="shared" si="24"/>
        <v>56368.681252343369</v>
      </c>
      <c r="N108" s="325">
        <f t="shared" si="20"/>
        <v>126163.45287185526</v>
      </c>
      <c r="O108" s="1"/>
    </row>
    <row r="109" spans="1:15" ht="14.5" x14ac:dyDescent="0.35">
      <c r="A109" s="169">
        <v>99</v>
      </c>
      <c r="B109" s="169">
        <f t="shared" si="21"/>
        <v>2113</v>
      </c>
      <c r="C109" s="325">
        <f>0</f>
        <v>0</v>
      </c>
      <c r="D109" s="325">
        <f t="shared" si="25"/>
        <v>12820.859999999999</v>
      </c>
      <c r="E109" s="325">
        <f t="shared" si="26"/>
        <v>4086.18</v>
      </c>
      <c r="F109" s="325">
        <f t="shared" si="27"/>
        <v>21162.835428824659</v>
      </c>
      <c r="G109" s="325">
        <f t="shared" si="22"/>
        <v>10684.05</v>
      </c>
      <c r="H109" s="325">
        <f t="shared" si="28"/>
        <v>3405.15</v>
      </c>
      <c r="I109" s="325">
        <f t="shared" si="23"/>
        <v>17635.696190687217</v>
      </c>
      <c r="J109" s="96" t="s">
        <v>120</v>
      </c>
      <c r="K109" s="533">
        <v>47994.676287000002</v>
      </c>
      <c r="L109" s="534">
        <v>1195416.7559999998</v>
      </c>
      <c r="M109" s="325">
        <f t="shared" si="24"/>
        <v>56368.681252343369</v>
      </c>
      <c r="N109" s="325">
        <f t="shared" si="20"/>
        <v>126163.45287185526</v>
      </c>
      <c r="O109" s="1"/>
    </row>
    <row r="110" spans="1:15" ht="14.5" x14ac:dyDescent="0.35">
      <c r="A110" s="169">
        <v>100</v>
      </c>
      <c r="B110" s="169">
        <f t="shared" si="21"/>
        <v>2114</v>
      </c>
      <c r="C110" s="325">
        <f>0</f>
        <v>0</v>
      </c>
      <c r="D110" s="325">
        <f t="shared" si="25"/>
        <v>12820.859999999999</v>
      </c>
      <c r="E110" s="325">
        <f t="shared" si="26"/>
        <v>4086.18</v>
      </c>
      <c r="F110" s="325">
        <f t="shared" si="27"/>
        <v>21162.835428824659</v>
      </c>
      <c r="G110" s="325">
        <f t="shared" si="22"/>
        <v>10684.05</v>
      </c>
      <c r="H110" s="325">
        <f t="shared" si="28"/>
        <v>3405.15</v>
      </c>
      <c r="I110" s="325">
        <f t="shared" si="23"/>
        <v>17635.696190687217</v>
      </c>
      <c r="J110" s="96" t="s">
        <v>120</v>
      </c>
      <c r="K110" s="533">
        <v>47994.676287000002</v>
      </c>
      <c r="L110" s="533">
        <v>1195416.7559999998</v>
      </c>
      <c r="M110" s="325">
        <f t="shared" si="24"/>
        <v>56368.681252343369</v>
      </c>
      <c r="N110" s="325">
        <f t="shared" si="20"/>
        <v>126163.45287185526</v>
      </c>
      <c r="O110" s="7"/>
    </row>
    <row r="111" spans="1:15" x14ac:dyDescent="0.3">
      <c r="A111" s="698" t="s">
        <v>55</v>
      </c>
      <c r="B111" s="698"/>
      <c r="C111" s="329">
        <f>SUM(C11:C110)</f>
        <v>1257312</v>
      </c>
      <c r="D111" s="329">
        <f t="shared" ref="D111:M111" si="29">SUM(D11:D110)</f>
        <v>1166698.26</v>
      </c>
      <c r="E111" s="329">
        <f t="shared" si="29"/>
        <v>371842.37999999948</v>
      </c>
      <c r="F111" s="329">
        <f t="shared" si="29"/>
        <v>1925818.0240230432</v>
      </c>
      <c r="G111" s="329">
        <f t="shared" si="29"/>
        <v>972248.55000000156</v>
      </c>
      <c r="H111" s="329">
        <f t="shared" si="29"/>
        <v>309868.65000000002</v>
      </c>
      <c r="I111" s="329">
        <f t="shared" si="29"/>
        <v>1604848.3533525353</v>
      </c>
      <c r="J111" s="328">
        <f t="shared" si="29"/>
        <v>0</v>
      </c>
      <c r="K111" s="335">
        <f t="shared" si="29"/>
        <v>11123637.137962988</v>
      </c>
      <c r="L111" s="335">
        <f t="shared" si="29"/>
        <v>156364431.08400023</v>
      </c>
      <c r="M111" s="329">
        <f t="shared" si="29"/>
        <v>7559078.6870805928</v>
      </c>
      <c r="N111" s="329">
        <f>SUM(N11:N110)</f>
        <v>15167714.904456189</v>
      </c>
    </row>
    <row r="112" spans="1:15" x14ac:dyDescent="0.3">
      <c r="A112" s="7" t="s">
        <v>67</v>
      </c>
    </row>
    <row r="113" spans="1:14" ht="38.25" customHeight="1" x14ac:dyDescent="0.3">
      <c r="A113" s="697" t="s">
        <v>657</v>
      </c>
      <c r="B113" s="697"/>
      <c r="C113" s="697"/>
      <c r="D113" s="697"/>
      <c r="E113" s="697"/>
      <c r="F113" s="697"/>
      <c r="G113" s="697"/>
      <c r="H113" s="697"/>
      <c r="I113" s="697"/>
      <c r="J113" s="697"/>
      <c r="K113" s="697"/>
      <c r="L113" s="697"/>
      <c r="M113" s="697"/>
      <c r="N113" s="90"/>
    </row>
    <row r="114" spans="1:14" ht="29.25" customHeight="1" x14ac:dyDescent="0.3">
      <c r="A114" s="697" t="s">
        <v>658</v>
      </c>
      <c r="B114" s="697"/>
      <c r="C114" s="697"/>
      <c r="D114" s="697"/>
      <c r="E114" s="697"/>
      <c r="F114" s="697"/>
      <c r="G114" s="697"/>
      <c r="H114" s="697"/>
      <c r="I114" s="697"/>
      <c r="J114" s="697"/>
      <c r="K114" s="697"/>
      <c r="L114" s="697"/>
      <c r="M114" s="697"/>
      <c r="N114" s="90"/>
    </row>
    <row r="115" spans="1:14" ht="15" x14ac:dyDescent="0.3">
      <c r="A115" s="535" t="s">
        <v>697</v>
      </c>
      <c r="B115" s="528"/>
      <c r="C115" s="528"/>
      <c r="D115" s="528"/>
      <c r="E115" s="528"/>
      <c r="F115" s="528"/>
      <c r="G115" s="528"/>
      <c r="H115" s="528"/>
      <c r="I115" s="528"/>
      <c r="J115" s="528"/>
      <c r="K115" s="528"/>
      <c r="L115" s="119"/>
      <c r="M115" s="90"/>
      <c r="N115" s="90"/>
    </row>
    <row r="116" spans="1:14" x14ac:dyDescent="0.3">
      <c r="A116" s="7" t="s">
        <v>82</v>
      </c>
      <c r="B116" s="528"/>
      <c r="C116" s="528"/>
      <c r="D116" s="528"/>
      <c r="E116" s="528"/>
      <c r="F116" s="528"/>
      <c r="G116" s="528"/>
      <c r="H116" s="528"/>
      <c r="I116" s="528"/>
      <c r="J116" s="90"/>
      <c r="K116" s="90"/>
    </row>
    <row r="117" spans="1:14" x14ac:dyDescent="0.3">
      <c r="A117" s="7" t="s">
        <v>83</v>
      </c>
    </row>
    <row r="118" spans="1:14" x14ac:dyDescent="0.3">
      <c r="D118" s="536" t="s">
        <v>0</v>
      </c>
      <c r="E118" s="536" t="s">
        <v>0</v>
      </c>
      <c r="F118" s="536" t="s">
        <v>0</v>
      </c>
      <c r="G118" s="536" t="s">
        <v>0</v>
      </c>
    </row>
    <row r="119" spans="1:14" x14ac:dyDescent="0.3">
      <c r="D119" s="337">
        <v>936838.59119914414</v>
      </c>
      <c r="E119" s="337">
        <v>306488</v>
      </c>
      <c r="F119" s="337">
        <v>2076693.7174976533</v>
      </c>
      <c r="G119" s="337">
        <f>SUM(D119:F119)</f>
        <v>3320020.3086967976</v>
      </c>
    </row>
    <row r="120" spans="1:14" x14ac:dyDescent="0.3">
      <c r="D120" s="529"/>
      <c r="E120" s="529"/>
      <c r="F120" s="529"/>
      <c r="G120" s="537">
        <f>SUM(D111:F111)-G119</f>
        <v>144338.35532624507</v>
      </c>
    </row>
    <row r="121" spans="1:14" x14ac:dyDescent="0.3">
      <c r="D121" s="529"/>
      <c r="E121" s="529"/>
      <c r="F121" s="529"/>
      <c r="G121" s="536" t="s">
        <v>0</v>
      </c>
    </row>
  </sheetData>
  <sheetProtection algorithmName="SHA-512" hashValue="h3t6I4eMYJLkG2UA9PubdgcRV7XTW514mCDr/ZqR9np/mNMQQ7eVLzCJbl5itHHyDWTM1qVh0TuS3MzGZJ2TtQ==" saltValue="gk4eZNFLRnfPryRnyFvcrw==" spinCount="100000" sheet="1" objects="1" scenarios="1"/>
  <mergeCells count="8">
    <mergeCell ref="A113:M113"/>
    <mergeCell ref="A114:M114"/>
    <mergeCell ref="M2:N2"/>
    <mergeCell ref="A111:B111"/>
    <mergeCell ref="A4:B4"/>
    <mergeCell ref="A5:B5"/>
    <mergeCell ref="A6:B6"/>
    <mergeCell ref="A7:B7"/>
  </mergeCells>
  <pageMargins left="0.7" right="0.7" top="0.75" bottom="0.75" header="0.3" footer="0.3"/>
  <pageSetup paperSize="17" scale="50" fitToHeight="0" orientation="landscape" horizontalDpi="1200" verticalDpi="1200" r:id="rId1"/>
  <headerFooter scaleWithDoc="0">
    <oddFooter>&amp;R&amp;"Arial,Regular"&amp;8&amp;P of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2:I121"/>
  <sheetViews>
    <sheetView view="pageBreakPreview" zoomScaleNormal="100" zoomScaleSheetLayoutView="100" workbookViewId="0">
      <pane xSplit="2" ySplit="9" topLeftCell="C94" activePane="bottomRight" state="frozen"/>
      <selection pane="topRight" activeCell="M112" sqref="M112"/>
      <selection pane="bottomLeft" activeCell="M112" sqref="M112"/>
      <selection pane="bottomRight" activeCell="H83" sqref="H83"/>
    </sheetView>
  </sheetViews>
  <sheetFormatPr defaultColWidth="9.26953125" defaultRowHeight="14" x14ac:dyDescent="0.3"/>
  <cols>
    <col min="1" max="1" width="10.26953125" style="7" customWidth="1"/>
    <col min="2" max="2" width="9.26953125" style="7"/>
    <col min="3" max="3" width="12.54296875" style="7" bestFit="1" customWidth="1"/>
    <col min="4" max="4" width="16.26953125" style="7" customWidth="1"/>
    <col min="5" max="5" width="28.26953125" style="7" customWidth="1"/>
    <col min="6" max="6" width="29" style="7" customWidth="1"/>
    <col min="7" max="7" width="17.26953125" style="7" customWidth="1"/>
    <col min="8" max="8" width="19.26953125" style="7" customWidth="1"/>
    <col min="9" max="9" width="13.26953125" style="90" customWidth="1"/>
    <col min="10" max="16384" width="9.26953125" style="90"/>
  </cols>
  <sheetData>
    <row r="2" spans="1:9" ht="14.5" x14ac:dyDescent="0.35">
      <c r="F2" s="545"/>
      <c r="G2" s="685" t="s">
        <v>10</v>
      </c>
      <c r="H2" s="685"/>
    </row>
    <row r="3" spans="1:9" ht="17.25" customHeight="1" x14ac:dyDescent="0.3">
      <c r="A3" s="3"/>
      <c r="B3" s="3"/>
      <c r="C3" s="3"/>
      <c r="G3" s="530" t="s">
        <v>68</v>
      </c>
      <c r="H3" s="517">
        <v>990022.35</v>
      </c>
    </row>
    <row r="4" spans="1:9" x14ac:dyDescent="0.3">
      <c r="A4" s="688" t="s">
        <v>1</v>
      </c>
      <c r="B4" s="689"/>
      <c r="C4" s="118" t="str">
        <f>'2019 CCP Summary'!B4</f>
        <v>REV 0 July 29, 2019</v>
      </c>
      <c r="E4" s="118"/>
      <c r="F4" s="543"/>
      <c r="G4" s="530" t="s">
        <v>110</v>
      </c>
      <c r="H4" s="546">
        <v>2.5000000000000001E-3</v>
      </c>
      <c r="I4" s="97"/>
    </row>
    <row r="5" spans="1:9" x14ac:dyDescent="0.3">
      <c r="A5" s="690" t="s">
        <v>2</v>
      </c>
      <c r="B5" s="689"/>
      <c r="C5" s="544">
        <f>'2019 CCP Summary'!B5</f>
        <v>18106417</v>
      </c>
      <c r="E5" s="6"/>
      <c r="F5" s="6"/>
      <c r="G5" s="530" t="s">
        <v>670</v>
      </c>
      <c r="H5" s="555">
        <v>5.6326873724835469</v>
      </c>
      <c r="I5" s="94"/>
    </row>
    <row r="6" spans="1:9" x14ac:dyDescent="0.3">
      <c r="A6" s="690" t="s">
        <v>3</v>
      </c>
      <c r="B6" s="689"/>
      <c r="C6" s="6" t="s">
        <v>121</v>
      </c>
      <c r="E6" s="6"/>
      <c r="F6" s="6"/>
      <c r="I6" s="119"/>
    </row>
    <row r="7" spans="1:9" ht="14.75" customHeight="1" x14ac:dyDescent="0.3">
      <c r="A7" s="691" t="s">
        <v>5</v>
      </c>
      <c r="B7" s="689"/>
      <c r="C7" s="543" t="str">
        <f>'2019 CCP Summary'!B7</f>
        <v>Tyrone Mine Closure Closeout Plan</v>
      </c>
      <c r="E7" s="6"/>
      <c r="F7" s="6"/>
    </row>
    <row r="8" spans="1:9" ht="14.75" customHeight="1" x14ac:dyDescent="0.3">
      <c r="A8" s="201"/>
      <c r="B8" s="145"/>
      <c r="D8" s="6"/>
      <c r="E8" s="6"/>
      <c r="F8" s="6"/>
      <c r="G8" s="393"/>
      <c r="H8" s="393"/>
    </row>
    <row r="9" spans="1:9" ht="39" x14ac:dyDescent="0.3">
      <c r="A9" s="519" t="s">
        <v>74</v>
      </c>
      <c r="B9" s="519" t="s">
        <v>50</v>
      </c>
      <c r="C9" s="519" t="s">
        <v>56</v>
      </c>
      <c r="D9" s="519" t="s">
        <v>659</v>
      </c>
      <c r="E9" s="519" t="s">
        <v>660</v>
      </c>
      <c r="F9" s="519" t="s">
        <v>661</v>
      </c>
      <c r="G9" s="519" t="s">
        <v>122</v>
      </c>
      <c r="H9" s="519" t="s">
        <v>662</v>
      </c>
    </row>
    <row r="10" spans="1:9" x14ac:dyDescent="0.3">
      <c r="A10" s="169">
        <v>1</v>
      </c>
      <c r="B10" s="169">
        <v>2015</v>
      </c>
      <c r="C10" s="325">
        <v>0</v>
      </c>
      <c r="D10" s="325">
        <v>0</v>
      </c>
      <c r="E10" s="325">
        <v>0</v>
      </c>
      <c r="F10" s="325">
        <v>0</v>
      </c>
      <c r="G10" s="332">
        <v>0</v>
      </c>
      <c r="H10" s="325">
        <f>+(G10*$H$5)+D10+C10</f>
        <v>0</v>
      </c>
    </row>
    <row r="11" spans="1:9" x14ac:dyDescent="0.3">
      <c r="A11" s="169">
        <v>2</v>
      </c>
      <c r="B11" s="169">
        <f>+B10+1</f>
        <v>2016</v>
      </c>
      <c r="C11" s="325">
        <v>0</v>
      </c>
      <c r="D11" s="325">
        <v>0</v>
      </c>
      <c r="E11" s="325">
        <v>0</v>
      </c>
      <c r="F11" s="325">
        <v>0</v>
      </c>
      <c r="G11" s="332">
        <v>0</v>
      </c>
      <c r="H11" s="325">
        <f t="shared" ref="H11:H74" si="0">+(G11*$H$5)+D11+C11</f>
        <v>0</v>
      </c>
    </row>
    <row r="12" spans="1:9" x14ac:dyDescent="0.3">
      <c r="A12" s="169">
        <v>3</v>
      </c>
      <c r="B12" s="169">
        <f t="shared" ref="B12:B75" si="1">+B11+1</f>
        <v>2017</v>
      </c>
      <c r="C12" s="325">
        <v>0</v>
      </c>
      <c r="D12" s="325">
        <v>0</v>
      </c>
      <c r="E12" s="325">
        <v>0</v>
      </c>
      <c r="F12" s="325">
        <v>0</v>
      </c>
      <c r="G12" s="332">
        <v>0</v>
      </c>
      <c r="H12" s="325">
        <f t="shared" si="0"/>
        <v>0</v>
      </c>
    </row>
    <row r="13" spans="1:9" x14ac:dyDescent="0.3">
      <c r="A13" s="169">
        <v>4</v>
      </c>
      <c r="B13" s="169">
        <f t="shared" si="1"/>
        <v>2018</v>
      </c>
      <c r="C13" s="325">
        <v>0</v>
      </c>
      <c r="D13" s="325">
        <v>0</v>
      </c>
      <c r="E13" s="325">
        <v>0</v>
      </c>
      <c r="F13" s="325">
        <v>0</v>
      </c>
      <c r="G13" s="332">
        <v>0</v>
      </c>
      <c r="H13" s="325">
        <f t="shared" si="0"/>
        <v>0</v>
      </c>
    </row>
    <row r="14" spans="1:9" x14ac:dyDescent="0.3">
      <c r="A14" s="169">
        <v>5</v>
      </c>
      <c r="B14" s="169">
        <f t="shared" si="1"/>
        <v>2019</v>
      </c>
      <c r="C14" s="325">
        <v>0</v>
      </c>
      <c r="D14" s="325">
        <v>0</v>
      </c>
      <c r="E14" s="325">
        <v>0</v>
      </c>
      <c r="F14" s="325">
        <v>0</v>
      </c>
      <c r="G14" s="332">
        <v>0</v>
      </c>
      <c r="H14" s="325">
        <f t="shared" si="0"/>
        <v>0</v>
      </c>
    </row>
    <row r="15" spans="1:9" x14ac:dyDescent="0.3">
      <c r="A15" s="169">
        <v>6</v>
      </c>
      <c r="B15" s="169">
        <f t="shared" si="1"/>
        <v>2020</v>
      </c>
      <c r="C15" s="325">
        <v>0</v>
      </c>
      <c r="D15" s="325">
        <v>0</v>
      </c>
      <c r="E15" s="325">
        <v>0</v>
      </c>
      <c r="F15" s="325">
        <v>0</v>
      </c>
      <c r="G15" s="332">
        <v>0</v>
      </c>
      <c r="H15" s="325">
        <f t="shared" si="0"/>
        <v>0</v>
      </c>
      <c r="I15" s="7"/>
    </row>
    <row r="16" spans="1:9" ht="14.25" customHeight="1" x14ac:dyDescent="0.3">
      <c r="A16" s="169">
        <v>7</v>
      </c>
      <c r="B16" s="169">
        <f t="shared" si="1"/>
        <v>2021</v>
      </c>
      <c r="C16" s="325">
        <v>0</v>
      </c>
      <c r="D16" s="325">
        <v>0</v>
      </c>
      <c r="E16" s="325">
        <v>0</v>
      </c>
      <c r="F16" s="325">
        <v>0</v>
      </c>
      <c r="G16" s="332">
        <v>0</v>
      </c>
      <c r="H16" s="325">
        <f>+(G16*$H$5)+D16+C16</f>
        <v>0</v>
      </c>
      <c r="I16" s="7"/>
    </row>
    <row r="17" spans="1:9" ht="14.25" customHeight="1" x14ac:dyDescent="0.3">
      <c r="A17" s="169">
        <v>8</v>
      </c>
      <c r="B17" s="169">
        <f t="shared" si="1"/>
        <v>2022</v>
      </c>
      <c r="C17" s="325">
        <v>0</v>
      </c>
      <c r="D17" s="325">
        <v>0</v>
      </c>
      <c r="E17" s="325">
        <v>0</v>
      </c>
      <c r="F17" s="325">
        <v>0</v>
      </c>
      <c r="G17" s="332">
        <v>0</v>
      </c>
      <c r="H17" s="325">
        <f t="shared" si="0"/>
        <v>0</v>
      </c>
      <c r="I17" s="7"/>
    </row>
    <row r="18" spans="1:9" x14ac:dyDescent="0.3">
      <c r="A18" s="169">
        <v>9</v>
      </c>
      <c r="B18" s="169">
        <f t="shared" si="1"/>
        <v>2023</v>
      </c>
      <c r="C18" s="556">
        <f>H3</f>
        <v>990022.35</v>
      </c>
      <c r="D18" s="325">
        <v>0</v>
      </c>
      <c r="E18" s="325">
        <v>0</v>
      </c>
      <c r="F18" s="325">
        <v>0</v>
      </c>
      <c r="G18" s="332">
        <v>0</v>
      </c>
      <c r="H18" s="325">
        <f t="shared" si="0"/>
        <v>990022.35</v>
      </c>
      <c r="I18" s="7"/>
    </row>
    <row r="19" spans="1:9" x14ac:dyDescent="0.3">
      <c r="A19" s="169">
        <v>10</v>
      </c>
      <c r="B19" s="169">
        <f t="shared" si="1"/>
        <v>2024</v>
      </c>
      <c r="C19" s="325">
        <v>0</v>
      </c>
      <c r="D19" s="325">
        <f>$H$3*$H$4</f>
        <v>2475.055875</v>
      </c>
      <c r="E19" s="96" t="s">
        <v>120</v>
      </c>
      <c r="F19" s="96" t="s">
        <v>120</v>
      </c>
      <c r="G19" s="332">
        <v>93395.599938873318</v>
      </c>
      <c r="H19" s="325">
        <f t="shared" si="0"/>
        <v>528543.2722962168</v>
      </c>
      <c r="I19" s="7"/>
    </row>
    <row r="20" spans="1:9" x14ac:dyDescent="0.3">
      <c r="A20" s="169">
        <v>11</v>
      </c>
      <c r="B20" s="169">
        <f t="shared" si="1"/>
        <v>2025</v>
      </c>
      <c r="C20" s="325">
        <v>0</v>
      </c>
      <c r="D20" s="325">
        <f t="shared" ref="D20:D23" si="2">$H$3*$H$4</f>
        <v>2475.055875</v>
      </c>
      <c r="E20" s="96" t="s">
        <v>120</v>
      </c>
      <c r="F20" s="96" t="s">
        <v>120</v>
      </c>
      <c r="G20" s="332">
        <v>78365.672357286196</v>
      </c>
      <c r="H20" s="325">
        <f t="shared" si="0"/>
        <v>443884.38899806893</v>
      </c>
      <c r="I20" s="7"/>
    </row>
    <row r="21" spans="1:9" x14ac:dyDescent="0.3">
      <c r="A21" s="169">
        <v>12</v>
      </c>
      <c r="B21" s="169">
        <f t="shared" si="1"/>
        <v>2026</v>
      </c>
      <c r="C21" s="325">
        <v>0</v>
      </c>
      <c r="D21" s="325">
        <f t="shared" si="2"/>
        <v>2475.055875</v>
      </c>
      <c r="E21" s="96" t="s">
        <v>120</v>
      </c>
      <c r="F21" s="96" t="s">
        <v>120</v>
      </c>
      <c r="G21" s="332">
        <v>63546.094102695526</v>
      </c>
      <c r="H21" s="325">
        <f t="shared" si="0"/>
        <v>360410.33769790432</v>
      </c>
      <c r="I21" s="7"/>
    </row>
    <row r="22" spans="1:9" x14ac:dyDescent="0.3">
      <c r="A22" s="169">
        <v>13</v>
      </c>
      <c r="B22" s="169">
        <f t="shared" si="1"/>
        <v>2027</v>
      </c>
      <c r="C22" s="325">
        <v>0</v>
      </c>
      <c r="D22" s="325">
        <f t="shared" si="2"/>
        <v>2475.055875</v>
      </c>
      <c r="E22" s="96" t="s">
        <v>120</v>
      </c>
      <c r="F22" s="96" t="s">
        <v>120</v>
      </c>
      <c r="G22" s="332">
        <v>46693.215356832756</v>
      </c>
      <c r="H22" s="325">
        <f t="shared" si="0"/>
        <v>265483.34039608674</v>
      </c>
      <c r="I22" s="7"/>
    </row>
    <row r="23" spans="1:9" x14ac:dyDescent="0.3">
      <c r="A23" s="169">
        <v>14</v>
      </c>
      <c r="B23" s="169">
        <f t="shared" si="1"/>
        <v>2028</v>
      </c>
      <c r="C23" s="325">
        <v>0</v>
      </c>
      <c r="D23" s="325">
        <f t="shared" si="2"/>
        <v>2475.055875</v>
      </c>
      <c r="E23" s="96" t="s">
        <v>120</v>
      </c>
      <c r="F23" s="96" t="s">
        <v>120</v>
      </c>
      <c r="G23" s="332">
        <v>32897.036468630933</v>
      </c>
      <c r="H23" s="325">
        <f t="shared" si="0"/>
        <v>187773.77778398819</v>
      </c>
      <c r="I23" s="7"/>
    </row>
    <row r="24" spans="1:9" x14ac:dyDescent="0.3">
      <c r="A24" s="169">
        <v>15</v>
      </c>
      <c r="B24" s="169">
        <f t="shared" si="1"/>
        <v>2029</v>
      </c>
      <c r="C24" s="325">
        <v>0</v>
      </c>
      <c r="D24" s="325">
        <f>$H$3*$H$4</f>
        <v>2475.055875</v>
      </c>
      <c r="E24" s="96" t="s">
        <v>120</v>
      </c>
      <c r="F24" s="96" t="s">
        <v>120</v>
      </c>
      <c r="G24" s="332">
        <v>13753.158102920774</v>
      </c>
      <c r="H24" s="325">
        <f t="shared" si="0"/>
        <v>79942.295853091622</v>
      </c>
      <c r="I24" s="7"/>
    </row>
    <row r="25" spans="1:9" x14ac:dyDescent="0.3">
      <c r="A25" s="169">
        <v>16</v>
      </c>
      <c r="B25" s="169">
        <f t="shared" si="1"/>
        <v>2030</v>
      </c>
      <c r="C25" s="325">
        <v>0</v>
      </c>
      <c r="D25" s="325">
        <f t="shared" ref="D25:D47" si="3">$H$3*$H$4</f>
        <v>2475.055875</v>
      </c>
      <c r="E25" s="96" t="s">
        <v>120</v>
      </c>
      <c r="F25" s="96" t="s">
        <v>120</v>
      </c>
      <c r="G25" s="332">
        <v>13591.416456677967</v>
      </c>
      <c r="H25" s="325">
        <f t="shared" si="0"/>
        <v>79031.25572469506</v>
      </c>
      <c r="I25" s="7"/>
    </row>
    <row r="26" spans="1:9" x14ac:dyDescent="0.3">
      <c r="A26" s="169">
        <v>17</v>
      </c>
      <c r="B26" s="169">
        <f t="shared" si="1"/>
        <v>2031</v>
      </c>
      <c r="C26" s="325">
        <v>0</v>
      </c>
      <c r="D26" s="325">
        <f t="shared" si="3"/>
        <v>2475.055875</v>
      </c>
      <c r="E26" s="96" t="s">
        <v>120</v>
      </c>
      <c r="F26" s="96" t="s">
        <v>120</v>
      </c>
      <c r="G26" s="332">
        <v>13430.094907783461</v>
      </c>
      <c r="H26" s="325">
        <f t="shared" si="0"/>
        <v>78122.581873327494</v>
      </c>
      <c r="I26" s="7"/>
    </row>
    <row r="27" spans="1:9" x14ac:dyDescent="0.3">
      <c r="A27" s="169">
        <v>18</v>
      </c>
      <c r="B27" s="169">
        <f t="shared" si="1"/>
        <v>2032</v>
      </c>
      <c r="C27" s="325">
        <v>0</v>
      </c>
      <c r="D27" s="325">
        <f t="shared" si="3"/>
        <v>2475.055875</v>
      </c>
      <c r="E27" s="96" t="s">
        <v>120</v>
      </c>
      <c r="F27" s="96" t="s">
        <v>120</v>
      </c>
      <c r="G27" s="332">
        <v>13269.174115516311</v>
      </c>
      <c r="H27" s="325">
        <f t="shared" si="0"/>
        <v>77216.165358754268</v>
      </c>
      <c r="I27" s="7"/>
    </row>
    <row r="28" spans="1:9" x14ac:dyDescent="0.3">
      <c r="A28" s="169">
        <v>19</v>
      </c>
      <c r="B28" s="169">
        <f t="shared" si="1"/>
        <v>2033</v>
      </c>
      <c r="C28" s="325">
        <v>0</v>
      </c>
      <c r="D28" s="325">
        <f t="shared" si="3"/>
        <v>2475.055875</v>
      </c>
      <c r="E28" s="96" t="s">
        <v>120</v>
      </c>
      <c r="F28" s="96" t="s">
        <v>120</v>
      </c>
      <c r="G28" s="332">
        <v>13108.722797474593</v>
      </c>
      <c r="H28" s="325">
        <f t="shared" si="0"/>
        <v>76312.393245722342</v>
      </c>
      <c r="I28" s="7"/>
    </row>
    <row r="29" spans="1:9" x14ac:dyDescent="0.3">
      <c r="A29" s="169">
        <v>20</v>
      </c>
      <c r="B29" s="169">
        <f t="shared" si="1"/>
        <v>2034</v>
      </c>
      <c r="C29" s="325">
        <v>0</v>
      </c>
      <c r="D29" s="325">
        <f t="shared" si="3"/>
        <v>2475.055875</v>
      </c>
      <c r="E29" s="96" t="s">
        <v>120</v>
      </c>
      <c r="F29" s="96" t="s">
        <v>120</v>
      </c>
      <c r="G29" s="332">
        <v>12948.734971417702</v>
      </c>
      <c r="H29" s="325">
        <f t="shared" si="0"/>
        <v>75411.231838140593</v>
      </c>
      <c r="I29" s="7"/>
    </row>
    <row r="30" spans="1:9" x14ac:dyDescent="0.3">
      <c r="A30" s="169">
        <v>21</v>
      </c>
      <c r="B30" s="169">
        <f t="shared" si="1"/>
        <v>2035</v>
      </c>
      <c r="C30" s="325">
        <v>0</v>
      </c>
      <c r="D30" s="325">
        <f t="shared" si="3"/>
        <v>2475.055875</v>
      </c>
      <c r="E30" s="96" t="s">
        <v>120</v>
      </c>
      <c r="F30" s="96" t="s">
        <v>120</v>
      </c>
      <c r="G30" s="332">
        <v>12790.565854730312</v>
      </c>
      <c r="H30" s="325">
        <f t="shared" si="0"/>
        <v>74520.314651858658</v>
      </c>
      <c r="I30" s="7"/>
    </row>
    <row r="31" spans="1:9" x14ac:dyDescent="0.3">
      <c r="A31" s="169">
        <v>22</v>
      </c>
      <c r="B31" s="169">
        <f t="shared" si="1"/>
        <v>2036</v>
      </c>
      <c r="C31" s="325">
        <v>0</v>
      </c>
      <c r="D31" s="325">
        <f t="shared" si="3"/>
        <v>2475.055875</v>
      </c>
      <c r="E31" s="96" t="s">
        <v>120</v>
      </c>
      <c r="F31" s="96" t="s">
        <v>120</v>
      </c>
      <c r="G31" s="332">
        <v>12635.939683575782</v>
      </c>
      <c r="H31" s="325">
        <f t="shared" si="0"/>
        <v>73649.353770141053</v>
      </c>
      <c r="I31" s="7"/>
    </row>
    <row r="32" spans="1:9" x14ac:dyDescent="0.3">
      <c r="A32" s="169">
        <v>23</v>
      </c>
      <c r="B32" s="169">
        <f t="shared" si="1"/>
        <v>2037</v>
      </c>
      <c r="C32" s="325">
        <v>0</v>
      </c>
      <c r="D32" s="325">
        <f t="shared" si="3"/>
        <v>2475.055875</v>
      </c>
      <c r="E32" s="96" t="s">
        <v>120</v>
      </c>
      <c r="F32" s="96" t="s">
        <v>120</v>
      </c>
      <c r="G32" s="332">
        <v>12484.434613618048</v>
      </c>
      <c r="H32" s="325">
        <f t="shared" si="0"/>
        <v>72795.973075722897</v>
      </c>
      <c r="I32" s="7"/>
    </row>
    <row r="33" spans="1:9" x14ac:dyDescent="0.3">
      <c r="A33" s="169">
        <v>24</v>
      </c>
      <c r="B33" s="169">
        <f t="shared" si="1"/>
        <v>2038</v>
      </c>
      <c r="C33" s="325">
        <v>0</v>
      </c>
      <c r="D33" s="325">
        <f t="shared" si="3"/>
        <v>2475.055875</v>
      </c>
      <c r="E33" s="96" t="s">
        <v>120</v>
      </c>
      <c r="F33" s="96" t="s">
        <v>120</v>
      </c>
      <c r="G33" s="332">
        <v>12335.766536901838</v>
      </c>
      <c r="H33" s="325">
        <f t="shared" si="0"/>
        <v>71958.57227731208</v>
      </c>
      <c r="I33" s="7"/>
    </row>
    <row r="34" spans="1:9" x14ac:dyDescent="0.3">
      <c r="A34" s="169">
        <v>25</v>
      </c>
      <c r="B34" s="169">
        <f t="shared" si="1"/>
        <v>2039</v>
      </c>
      <c r="C34" s="325">
        <v>0</v>
      </c>
      <c r="D34" s="325">
        <f t="shared" si="3"/>
        <v>2475.055875</v>
      </c>
      <c r="E34" s="96" t="s">
        <v>120</v>
      </c>
      <c r="F34" s="96" t="s">
        <v>120</v>
      </c>
      <c r="G34" s="332">
        <v>12189.460185310056</v>
      </c>
      <c r="H34" s="325">
        <f t="shared" si="0"/>
        <v>71134.474338186905</v>
      </c>
      <c r="I34" s="7"/>
    </row>
    <row r="35" spans="1:9" x14ac:dyDescent="0.3">
      <c r="A35" s="169">
        <v>26</v>
      </c>
      <c r="B35" s="169">
        <f t="shared" si="1"/>
        <v>2040</v>
      </c>
      <c r="C35" s="325">
        <v>0</v>
      </c>
      <c r="D35" s="325">
        <f t="shared" si="3"/>
        <v>2475.055875</v>
      </c>
      <c r="E35" s="96" t="s">
        <v>120</v>
      </c>
      <c r="F35" s="96" t="s">
        <v>120</v>
      </c>
      <c r="G35" s="332">
        <v>12045.285674913881</v>
      </c>
      <c r="H35" s="325">
        <f t="shared" si="0"/>
        <v>70322.384394044377</v>
      </c>
      <c r="I35" s="7"/>
    </row>
    <row r="36" spans="1:9" x14ac:dyDescent="0.3">
      <c r="A36" s="169">
        <v>27</v>
      </c>
      <c r="B36" s="169">
        <f t="shared" si="1"/>
        <v>2041</v>
      </c>
      <c r="C36" s="325">
        <v>0</v>
      </c>
      <c r="D36" s="325">
        <f t="shared" si="3"/>
        <v>2475.055875</v>
      </c>
      <c r="E36" s="96" t="s">
        <v>120</v>
      </c>
      <c r="F36" s="96" t="s">
        <v>120</v>
      </c>
      <c r="G36" s="332">
        <v>11903.085533484693</v>
      </c>
      <c r="H36" s="325">
        <f t="shared" si="0"/>
        <v>69521.415453050824</v>
      </c>
      <c r="I36" s="7"/>
    </row>
    <row r="37" spans="1:9" x14ac:dyDescent="0.3">
      <c r="A37" s="169">
        <v>28</v>
      </c>
      <c r="B37" s="169">
        <f t="shared" si="1"/>
        <v>2042</v>
      </c>
      <c r="C37" s="325">
        <v>0</v>
      </c>
      <c r="D37" s="325">
        <f t="shared" si="3"/>
        <v>2475.055875</v>
      </c>
      <c r="E37" s="96" t="s">
        <v>120</v>
      </c>
      <c r="F37" s="96" t="s">
        <v>120</v>
      </c>
      <c r="G37" s="332">
        <v>11762.714887069904</v>
      </c>
      <c r="H37" s="325">
        <f t="shared" si="0"/>
        <v>68730.75148552288</v>
      </c>
      <c r="I37" s="7"/>
    </row>
    <row r="38" spans="1:9" x14ac:dyDescent="0.3">
      <c r="A38" s="169">
        <v>29</v>
      </c>
      <c r="B38" s="169">
        <f t="shared" si="1"/>
        <v>2043</v>
      </c>
      <c r="C38" s="325">
        <v>0</v>
      </c>
      <c r="D38" s="325">
        <f t="shared" si="3"/>
        <v>2475.055875</v>
      </c>
      <c r="E38" s="96" t="s">
        <v>120</v>
      </c>
      <c r="F38" s="96" t="s">
        <v>120</v>
      </c>
      <c r="G38" s="332">
        <v>11624.042265499418</v>
      </c>
      <c r="H38" s="325">
        <f t="shared" si="0"/>
        <v>67949.651961093608</v>
      </c>
      <c r="I38" s="7"/>
    </row>
    <row r="39" spans="1:9" x14ac:dyDescent="0.3">
      <c r="A39" s="169">
        <v>30</v>
      </c>
      <c r="B39" s="169">
        <f t="shared" si="1"/>
        <v>2044</v>
      </c>
      <c r="C39" s="325">
        <v>0</v>
      </c>
      <c r="D39" s="325">
        <f t="shared" si="3"/>
        <v>2475.055875</v>
      </c>
      <c r="E39" s="96" t="s">
        <v>120</v>
      </c>
      <c r="F39" s="96" t="s">
        <v>120</v>
      </c>
      <c r="G39" s="332">
        <v>11486.964932774272</v>
      </c>
      <c r="H39" s="325">
        <f t="shared" si="0"/>
        <v>67177.538199998962</v>
      </c>
      <c r="I39" s="7"/>
    </row>
    <row r="40" spans="1:9" x14ac:dyDescent="0.3">
      <c r="A40" s="169">
        <v>31</v>
      </c>
      <c r="B40" s="169">
        <f t="shared" si="1"/>
        <v>2045</v>
      </c>
      <c r="C40" s="325">
        <v>0</v>
      </c>
      <c r="D40" s="325">
        <f t="shared" si="3"/>
        <v>2475.055875</v>
      </c>
      <c r="E40" s="96" t="s">
        <v>120</v>
      </c>
      <c r="F40" s="96" t="s">
        <v>120</v>
      </c>
      <c r="G40" s="332">
        <v>11351.312397271269</v>
      </c>
      <c r="H40" s="325">
        <f t="shared" si="0"/>
        <v>66413.449876225815</v>
      </c>
      <c r="I40" s="7"/>
    </row>
    <row r="41" spans="1:9" x14ac:dyDescent="0.3">
      <c r="A41" s="169">
        <v>32</v>
      </c>
      <c r="B41" s="169">
        <f t="shared" si="1"/>
        <v>2046</v>
      </c>
      <c r="C41" s="325">
        <v>0</v>
      </c>
      <c r="D41" s="325">
        <f t="shared" si="3"/>
        <v>2475.055875</v>
      </c>
      <c r="E41" s="96" t="s">
        <v>120</v>
      </c>
      <c r="F41" s="96" t="s">
        <v>120</v>
      </c>
      <c r="G41" s="332">
        <v>11216.959050089403</v>
      </c>
      <c r="H41" s="325">
        <f t="shared" si="0"/>
        <v>65656.679474103628</v>
      </c>
      <c r="I41" s="7"/>
    </row>
    <row r="42" spans="1:9" x14ac:dyDescent="0.3">
      <c r="A42" s="169">
        <v>33</v>
      </c>
      <c r="B42" s="169">
        <f t="shared" si="1"/>
        <v>2047</v>
      </c>
      <c r="C42" s="325">
        <v>0</v>
      </c>
      <c r="D42" s="325">
        <f t="shared" si="3"/>
        <v>2475.055875</v>
      </c>
      <c r="E42" s="96" t="s">
        <v>120</v>
      </c>
      <c r="F42" s="96" t="s">
        <v>120</v>
      </c>
      <c r="G42" s="332">
        <v>11189.755752273473</v>
      </c>
      <c r="H42" s="325">
        <f t="shared" si="0"/>
        <v>65503.451802005926</v>
      </c>
      <c r="I42" s="7"/>
    </row>
    <row r="43" spans="1:9" x14ac:dyDescent="0.3">
      <c r="A43" s="169">
        <v>34</v>
      </c>
      <c r="B43" s="169">
        <f t="shared" si="1"/>
        <v>2048</v>
      </c>
      <c r="C43" s="325">
        <v>0</v>
      </c>
      <c r="D43" s="325">
        <f t="shared" si="3"/>
        <v>2475.055875</v>
      </c>
      <c r="E43" s="96" t="s">
        <v>120</v>
      </c>
      <c r="F43" s="96" t="s">
        <v>120</v>
      </c>
      <c r="G43" s="332">
        <v>11163.647533559442</v>
      </c>
      <c r="H43" s="325">
        <f t="shared" si="0"/>
        <v>65356.392368137364</v>
      </c>
      <c r="I43" s="7"/>
    </row>
    <row r="44" spans="1:9" x14ac:dyDescent="0.3">
      <c r="A44" s="169">
        <v>35</v>
      </c>
      <c r="B44" s="169">
        <f t="shared" si="1"/>
        <v>2049</v>
      </c>
      <c r="C44" s="325">
        <v>0</v>
      </c>
      <c r="D44" s="325">
        <f t="shared" si="3"/>
        <v>2475.055875</v>
      </c>
      <c r="E44" s="96" t="s">
        <v>120</v>
      </c>
      <c r="F44" s="96" t="s">
        <v>120</v>
      </c>
      <c r="G44" s="332">
        <v>11138.579287971979</v>
      </c>
      <c r="H44" s="325">
        <f t="shared" si="0"/>
        <v>65215.19077776654</v>
      </c>
      <c r="I44" s="7"/>
    </row>
    <row r="45" spans="1:9" x14ac:dyDescent="0.3">
      <c r="A45" s="169">
        <v>36</v>
      </c>
      <c r="B45" s="169">
        <f t="shared" si="1"/>
        <v>2050</v>
      </c>
      <c r="C45" s="325">
        <v>0</v>
      </c>
      <c r="D45" s="325">
        <f t="shared" si="3"/>
        <v>2475.055875</v>
      </c>
      <c r="E45" s="96" t="s">
        <v>120</v>
      </c>
      <c r="F45" s="96" t="s">
        <v>120</v>
      </c>
      <c r="G45" s="332">
        <v>11114.440248566387</v>
      </c>
      <c r="H45" s="325">
        <f t="shared" si="0"/>
        <v>65079.223115322777</v>
      </c>
      <c r="I45" s="7"/>
    </row>
    <row r="46" spans="1:9" x14ac:dyDescent="0.3">
      <c r="A46" s="169">
        <v>37</v>
      </c>
      <c r="B46" s="169">
        <f t="shared" si="1"/>
        <v>2051</v>
      </c>
      <c r="C46" s="325">
        <v>0</v>
      </c>
      <c r="D46" s="325">
        <f t="shared" si="3"/>
        <v>2475.055875</v>
      </c>
      <c r="E46" s="96" t="s">
        <v>120</v>
      </c>
      <c r="F46" s="96" t="s">
        <v>120</v>
      </c>
      <c r="G46" s="332">
        <v>11091.1706590667</v>
      </c>
      <c r="H46" s="325">
        <f t="shared" si="0"/>
        <v>64948.152792385015</v>
      </c>
      <c r="I46" s="7"/>
    </row>
    <row r="47" spans="1:9" x14ac:dyDescent="0.3">
      <c r="A47" s="169">
        <v>38</v>
      </c>
      <c r="B47" s="169">
        <f t="shared" si="1"/>
        <v>2052</v>
      </c>
      <c r="C47" s="325">
        <v>0</v>
      </c>
      <c r="D47" s="325">
        <f t="shared" si="3"/>
        <v>2475.055875</v>
      </c>
      <c r="E47" s="96" t="s">
        <v>120</v>
      </c>
      <c r="F47" s="96" t="s">
        <v>120</v>
      </c>
      <c r="G47" s="332">
        <v>11068.723819957619</v>
      </c>
      <c r="H47" s="325">
        <f t="shared" si="0"/>
        <v>64821.716765183126</v>
      </c>
      <c r="I47" s="7"/>
    </row>
    <row r="48" spans="1:9" x14ac:dyDescent="0.3">
      <c r="A48" s="169">
        <v>39</v>
      </c>
      <c r="B48" s="169">
        <f t="shared" si="1"/>
        <v>2053</v>
      </c>
      <c r="C48" s="325">
        <v>0</v>
      </c>
      <c r="D48" s="325">
        <f t="shared" ref="D48:D79" si="4">$H$3*$H$4</f>
        <v>2475.055875</v>
      </c>
      <c r="E48" s="96" t="s">
        <v>120</v>
      </c>
      <c r="F48" s="96" t="s">
        <v>120</v>
      </c>
      <c r="G48" s="332">
        <v>11047.039785173843</v>
      </c>
      <c r="H48" s="325">
        <f t="shared" si="0"/>
        <v>64699.577376272064</v>
      </c>
      <c r="I48" s="7"/>
    </row>
    <row r="49" spans="1:9" x14ac:dyDescent="0.3">
      <c r="A49" s="169">
        <v>40</v>
      </c>
      <c r="B49" s="169">
        <f t="shared" si="1"/>
        <v>2054</v>
      </c>
      <c r="C49" s="325">
        <v>0</v>
      </c>
      <c r="D49" s="325">
        <f t="shared" si="4"/>
        <v>2475.055875</v>
      </c>
      <c r="E49" s="96" t="s">
        <v>120</v>
      </c>
      <c r="F49" s="96" t="s">
        <v>120</v>
      </c>
      <c r="G49" s="332">
        <v>11026.077676251347</v>
      </c>
      <c r="H49" s="325">
        <f t="shared" si="0"/>
        <v>64581.504370043687</v>
      </c>
      <c r="I49" s="7"/>
    </row>
    <row r="50" spans="1:9" x14ac:dyDescent="0.3">
      <c r="A50" s="169">
        <v>41</v>
      </c>
      <c r="B50" s="169">
        <f t="shared" si="1"/>
        <v>2055</v>
      </c>
      <c r="C50" s="325">
        <v>0</v>
      </c>
      <c r="D50" s="325">
        <f t="shared" si="4"/>
        <v>2475.055875</v>
      </c>
      <c r="E50" s="96" t="s">
        <v>120</v>
      </c>
      <c r="F50" s="96" t="s">
        <v>120</v>
      </c>
      <c r="G50" s="332">
        <v>11005.798752519293</v>
      </c>
      <c r="H50" s="325">
        <f t="shared" si="0"/>
        <v>64467.27953241059</v>
      </c>
      <c r="I50" s="7"/>
    </row>
    <row r="51" spans="1:9" x14ac:dyDescent="0.3">
      <c r="A51" s="169">
        <v>42</v>
      </c>
      <c r="B51" s="169">
        <f t="shared" si="1"/>
        <v>2056</v>
      </c>
      <c r="C51" s="325">
        <v>0</v>
      </c>
      <c r="D51" s="325">
        <f t="shared" si="4"/>
        <v>2475.055875</v>
      </c>
      <c r="E51" s="96" t="s">
        <v>120</v>
      </c>
      <c r="F51" s="96" t="s">
        <v>120</v>
      </c>
      <c r="G51" s="332">
        <v>10986.174240877996</v>
      </c>
      <c r="H51" s="325">
        <f t="shared" si="0"/>
        <v>64356.740793497498</v>
      </c>
      <c r="I51" s="7"/>
    </row>
    <row r="52" spans="1:9" x14ac:dyDescent="0.3">
      <c r="A52" s="169">
        <v>43</v>
      </c>
      <c r="B52" s="169">
        <f t="shared" si="1"/>
        <v>2057</v>
      </c>
      <c r="C52" s="325">
        <v>0</v>
      </c>
      <c r="D52" s="325">
        <f t="shared" si="4"/>
        <v>2475.055875</v>
      </c>
      <c r="E52" s="96" t="s">
        <v>120</v>
      </c>
      <c r="F52" s="96" t="s">
        <v>120</v>
      </c>
      <c r="G52" s="332">
        <v>10967.172418025557</v>
      </c>
      <c r="H52" s="325">
        <f t="shared" si="0"/>
        <v>64249.709465862397</v>
      </c>
      <c r="I52" s="7"/>
    </row>
    <row r="53" spans="1:9" x14ac:dyDescent="0.3">
      <c r="A53" s="169">
        <v>44</v>
      </c>
      <c r="B53" s="169">
        <f t="shared" si="1"/>
        <v>2058</v>
      </c>
      <c r="C53" s="325">
        <v>0</v>
      </c>
      <c r="D53" s="325">
        <f t="shared" si="4"/>
        <v>2475.055875</v>
      </c>
      <c r="E53" s="96" t="s">
        <v>120</v>
      </c>
      <c r="F53" s="96" t="s">
        <v>120</v>
      </c>
      <c r="G53" s="332">
        <v>10948.771741982979</v>
      </c>
      <c r="H53" s="325">
        <f t="shared" si="0"/>
        <v>64146.064210272212</v>
      </c>
      <c r="I53" s="7"/>
    </row>
    <row r="54" spans="1:9" x14ac:dyDescent="0.3">
      <c r="A54" s="169">
        <v>45</v>
      </c>
      <c r="B54" s="169">
        <f t="shared" si="1"/>
        <v>2059</v>
      </c>
      <c r="C54" s="325">
        <v>0</v>
      </c>
      <c r="D54" s="325">
        <f t="shared" si="4"/>
        <v>2475.055875</v>
      </c>
      <c r="E54" s="96" t="s">
        <v>120</v>
      </c>
      <c r="F54" s="96" t="s">
        <v>120</v>
      </c>
      <c r="G54" s="332">
        <v>10930.936508259632</v>
      </c>
      <c r="H54" s="325">
        <f t="shared" si="0"/>
        <v>64045.603914493426</v>
      </c>
      <c r="I54" s="7"/>
    </row>
    <row r="55" spans="1:9" x14ac:dyDescent="0.3">
      <c r="A55" s="169">
        <v>46</v>
      </c>
      <c r="B55" s="169">
        <f t="shared" si="1"/>
        <v>2060</v>
      </c>
      <c r="C55" s="325">
        <v>0</v>
      </c>
      <c r="D55" s="325">
        <f t="shared" si="4"/>
        <v>2475.055875</v>
      </c>
      <c r="E55" s="96" t="s">
        <v>120</v>
      </c>
      <c r="F55" s="96" t="s">
        <v>120</v>
      </c>
      <c r="G55" s="332">
        <v>10913.622372708436</v>
      </c>
      <c r="H55" s="325">
        <f t="shared" si="0"/>
        <v>63948.078801808733</v>
      </c>
      <c r="I55" s="7"/>
    </row>
    <row r="56" spans="1:9" x14ac:dyDescent="0.3">
      <c r="A56" s="169">
        <v>47</v>
      </c>
      <c r="B56" s="169">
        <f t="shared" si="1"/>
        <v>2061</v>
      </c>
      <c r="C56" s="325">
        <v>0</v>
      </c>
      <c r="D56" s="325">
        <f t="shared" si="4"/>
        <v>2475.055875</v>
      </c>
      <c r="E56" s="96" t="s">
        <v>120</v>
      </c>
      <c r="F56" s="96" t="s">
        <v>120</v>
      </c>
      <c r="G56" s="332">
        <v>10896.839999296895</v>
      </c>
      <c r="H56" s="325">
        <f t="shared" si="0"/>
        <v>63853.548939013242</v>
      </c>
      <c r="I56" s="7"/>
    </row>
    <row r="57" spans="1:9" x14ac:dyDescent="0.3">
      <c r="A57" s="169">
        <v>48</v>
      </c>
      <c r="B57" s="169">
        <f t="shared" si="1"/>
        <v>2062</v>
      </c>
      <c r="C57" s="325">
        <v>0</v>
      </c>
      <c r="D57" s="325">
        <f t="shared" si="4"/>
        <v>2475.055875</v>
      </c>
      <c r="E57" s="96" t="s">
        <v>120</v>
      </c>
      <c r="F57" s="96" t="s">
        <v>120</v>
      </c>
      <c r="G57" s="332">
        <v>10880.495131047137</v>
      </c>
      <c r="H57" s="325">
        <f t="shared" si="0"/>
        <v>63761.48340601792</v>
      </c>
      <c r="I57" s="7"/>
    </row>
    <row r="58" spans="1:9" x14ac:dyDescent="0.3">
      <c r="A58" s="169">
        <v>49</v>
      </c>
      <c r="B58" s="169">
        <f t="shared" si="1"/>
        <v>2063</v>
      </c>
      <c r="C58" s="325">
        <v>0</v>
      </c>
      <c r="D58" s="325">
        <f t="shared" si="4"/>
        <v>2475.055875</v>
      </c>
      <c r="E58" s="96" t="s">
        <v>120</v>
      </c>
      <c r="F58" s="96" t="s">
        <v>120</v>
      </c>
      <c r="G58" s="332">
        <v>10864.612358141074</v>
      </c>
      <c r="H58" s="325">
        <f t="shared" si="0"/>
        <v>63672.020711629913</v>
      </c>
      <c r="I58" s="7"/>
    </row>
    <row r="59" spans="1:9" x14ac:dyDescent="0.3">
      <c r="A59" s="169">
        <v>50</v>
      </c>
      <c r="B59" s="169">
        <f t="shared" si="1"/>
        <v>2064</v>
      </c>
      <c r="C59" s="325">
        <v>0</v>
      </c>
      <c r="D59" s="325">
        <f t="shared" si="4"/>
        <v>2475.055875</v>
      </c>
      <c r="E59" s="96" t="s">
        <v>120</v>
      </c>
      <c r="F59" s="96" t="s">
        <v>120</v>
      </c>
      <c r="G59" s="332">
        <v>10842.68132351313</v>
      </c>
      <c r="H59" s="325">
        <f t="shared" si="0"/>
        <v>63548.490049815598</v>
      </c>
      <c r="I59" s="7"/>
    </row>
    <row r="60" spans="1:9" x14ac:dyDescent="0.3">
      <c r="A60" s="169">
        <v>51</v>
      </c>
      <c r="B60" s="169">
        <f t="shared" si="1"/>
        <v>2065</v>
      </c>
      <c r="C60" s="325">
        <v>0</v>
      </c>
      <c r="D60" s="325">
        <f t="shared" si="4"/>
        <v>2475.055875</v>
      </c>
      <c r="E60" s="96" t="s">
        <v>120</v>
      </c>
      <c r="F60" s="96" t="s">
        <v>120</v>
      </c>
      <c r="G60" s="332">
        <v>10801.655767379832</v>
      </c>
      <c r="H60" s="325">
        <f t="shared" si="0"/>
        <v>63317.405917834454</v>
      </c>
      <c r="I60" s="7"/>
    </row>
    <row r="61" spans="1:9" x14ac:dyDescent="0.3">
      <c r="A61" s="169">
        <v>52</v>
      </c>
      <c r="B61" s="169">
        <f t="shared" si="1"/>
        <v>2066</v>
      </c>
      <c r="C61" s="325">
        <v>0</v>
      </c>
      <c r="D61" s="325">
        <f t="shared" si="4"/>
        <v>2475.055875</v>
      </c>
      <c r="E61" s="96" t="s">
        <v>120</v>
      </c>
      <c r="F61" s="96" t="s">
        <v>120</v>
      </c>
      <c r="G61" s="332">
        <v>10787.75904420253</v>
      </c>
      <c r="H61" s="325">
        <f t="shared" si="0"/>
        <v>63239.130020674769</v>
      </c>
      <c r="I61" s="7"/>
    </row>
    <row r="62" spans="1:9" x14ac:dyDescent="0.3">
      <c r="A62" s="169">
        <v>53</v>
      </c>
      <c r="B62" s="169">
        <f t="shared" si="1"/>
        <v>2067</v>
      </c>
      <c r="C62" s="325">
        <v>0</v>
      </c>
      <c r="D62" s="325">
        <f t="shared" si="4"/>
        <v>2475.055875</v>
      </c>
      <c r="E62" s="96" t="s">
        <v>120</v>
      </c>
      <c r="F62" s="96" t="s">
        <v>120</v>
      </c>
      <c r="G62" s="332">
        <v>10774.216053544862</v>
      </c>
      <c r="H62" s="325">
        <f t="shared" si="0"/>
        <v>63162.846588211658</v>
      </c>
      <c r="I62" s="7"/>
    </row>
    <row r="63" spans="1:9" x14ac:dyDescent="0.3">
      <c r="A63" s="169">
        <v>54</v>
      </c>
      <c r="B63" s="169">
        <f t="shared" si="1"/>
        <v>2068</v>
      </c>
      <c r="C63" s="325">
        <v>0</v>
      </c>
      <c r="D63" s="325">
        <f t="shared" si="4"/>
        <v>2475.055875</v>
      </c>
      <c r="E63" s="96" t="s">
        <v>120</v>
      </c>
      <c r="F63" s="96" t="s">
        <v>120</v>
      </c>
      <c r="G63" s="332">
        <v>10761.030277738859</v>
      </c>
      <c r="H63" s="325">
        <f t="shared" si="0"/>
        <v>63088.575235332784</v>
      </c>
      <c r="I63" s="7"/>
    </row>
    <row r="64" spans="1:9" x14ac:dyDescent="0.3">
      <c r="A64" s="169">
        <v>55</v>
      </c>
      <c r="B64" s="169">
        <f t="shared" si="1"/>
        <v>2069</v>
      </c>
      <c r="C64" s="325">
        <v>0</v>
      </c>
      <c r="D64" s="325">
        <f t="shared" si="4"/>
        <v>2475.055875</v>
      </c>
      <c r="E64" s="96" t="s">
        <v>120</v>
      </c>
      <c r="F64" s="96" t="s">
        <v>120</v>
      </c>
      <c r="G64" s="332">
        <v>10748.187419549156</v>
      </c>
      <c r="H64" s="325">
        <f t="shared" si="0"/>
        <v>63016.235430181048</v>
      </c>
      <c r="I64" s="7"/>
    </row>
    <row r="65" spans="1:9" x14ac:dyDescent="0.3">
      <c r="A65" s="169">
        <v>56</v>
      </c>
      <c r="B65" s="169">
        <f t="shared" si="1"/>
        <v>2070</v>
      </c>
      <c r="C65" s="325">
        <v>0</v>
      </c>
      <c r="D65" s="325">
        <f t="shared" si="4"/>
        <v>2475.055875</v>
      </c>
      <c r="E65" s="96" t="s">
        <v>120</v>
      </c>
      <c r="F65" s="96" t="s">
        <v>120</v>
      </c>
      <c r="G65" s="332">
        <v>10735.669969732973</v>
      </c>
      <c r="H65" s="325">
        <f t="shared" si="0"/>
        <v>62945.728548665742</v>
      </c>
      <c r="I65" s="7"/>
    </row>
    <row r="66" spans="1:9" x14ac:dyDescent="0.3">
      <c r="A66" s="169">
        <v>57</v>
      </c>
      <c r="B66" s="169">
        <f t="shared" si="1"/>
        <v>2071</v>
      </c>
      <c r="C66" s="325">
        <v>0</v>
      </c>
      <c r="D66" s="325">
        <f t="shared" si="4"/>
        <v>2475.055875</v>
      </c>
      <c r="E66" s="96" t="s">
        <v>120</v>
      </c>
      <c r="F66" s="96" t="s">
        <v>120</v>
      </c>
      <c r="G66" s="332">
        <v>10723.476847793385</v>
      </c>
      <c r="H66" s="325">
        <f t="shared" si="0"/>
        <v>62877.048504685466</v>
      </c>
      <c r="I66" s="7"/>
    </row>
    <row r="67" spans="1:9" x14ac:dyDescent="0.3">
      <c r="A67" s="169">
        <v>58</v>
      </c>
      <c r="B67" s="169">
        <f t="shared" si="1"/>
        <v>2072</v>
      </c>
      <c r="C67" s="325">
        <v>0</v>
      </c>
      <c r="D67" s="325">
        <f t="shared" si="4"/>
        <v>2475.055875</v>
      </c>
      <c r="E67" s="96" t="s">
        <v>120</v>
      </c>
      <c r="F67" s="96" t="s">
        <v>120</v>
      </c>
      <c r="G67" s="332">
        <v>10711.586990098831</v>
      </c>
      <c r="H67" s="325">
        <f t="shared" si="0"/>
        <v>62810.076653388729</v>
      </c>
      <c r="I67" s="7"/>
    </row>
    <row r="68" spans="1:9" x14ac:dyDescent="0.3">
      <c r="A68" s="169">
        <v>59</v>
      </c>
      <c r="B68" s="169">
        <f t="shared" si="1"/>
        <v>2073</v>
      </c>
      <c r="C68" s="325">
        <v>0</v>
      </c>
      <c r="D68" s="325">
        <f t="shared" si="4"/>
        <v>2475.055875</v>
      </c>
      <c r="E68" s="96" t="s">
        <v>120</v>
      </c>
      <c r="F68" s="96" t="s">
        <v>120</v>
      </c>
      <c r="G68" s="332">
        <v>10699.985832697503</v>
      </c>
      <c r="H68" s="325">
        <f t="shared" si="0"/>
        <v>62744.730960588073</v>
      </c>
      <c r="I68" s="7"/>
    </row>
    <row r="69" spans="1:9" x14ac:dyDescent="0.3">
      <c r="A69" s="169">
        <v>60</v>
      </c>
      <c r="B69" s="169">
        <f t="shared" si="1"/>
        <v>2074</v>
      </c>
      <c r="C69" s="325">
        <v>0</v>
      </c>
      <c r="D69" s="325">
        <f t="shared" si="4"/>
        <v>2475.055875</v>
      </c>
      <c r="E69" s="96" t="s">
        <v>120</v>
      </c>
      <c r="F69" s="96" t="s">
        <v>120</v>
      </c>
      <c r="G69" s="332">
        <v>10688.693456437841</v>
      </c>
      <c r="H69" s="325">
        <f t="shared" si="0"/>
        <v>62681.12453542494</v>
      </c>
      <c r="I69" s="7"/>
    </row>
    <row r="70" spans="1:9" x14ac:dyDescent="0.3">
      <c r="A70" s="169">
        <v>61</v>
      </c>
      <c r="B70" s="169">
        <f t="shared" si="1"/>
        <v>2075</v>
      </c>
      <c r="C70" s="325">
        <v>0</v>
      </c>
      <c r="D70" s="325">
        <f t="shared" si="4"/>
        <v>2475.055875</v>
      </c>
      <c r="E70" s="96" t="s">
        <v>120</v>
      </c>
      <c r="F70" s="96" t="s">
        <v>120</v>
      </c>
      <c r="G70" s="332">
        <v>10677.648651043801</v>
      </c>
      <c r="H70" s="325">
        <f t="shared" si="0"/>
        <v>62618.912599550393</v>
      </c>
      <c r="I70" s="7"/>
    </row>
    <row r="71" spans="1:9" x14ac:dyDescent="0.3">
      <c r="A71" s="169">
        <v>62</v>
      </c>
      <c r="B71" s="169">
        <f t="shared" si="1"/>
        <v>2076</v>
      </c>
      <c r="C71" s="325">
        <v>0</v>
      </c>
      <c r="D71" s="325">
        <f t="shared" si="4"/>
        <v>2475.055875</v>
      </c>
      <c r="E71" s="96" t="s">
        <v>120</v>
      </c>
      <c r="F71" s="96" t="s">
        <v>120</v>
      </c>
      <c r="G71" s="332">
        <v>10666.88011513064</v>
      </c>
      <c r="H71" s="325">
        <f t="shared" si="0"/>
        <v>62558.256803292199</v>
      </c>
      <c r="I71" s="7"/>
    </row>
    <row r="72" spans="1:9" x14ac:dyDescent="0.3">
      <c r="A72" s="169">
        <v>63</v>
      </c>
      <c r="B72" s="169">
        <f t="shared" si="1"/>
        <v>2077</v>
      </c>
      <c r="C72" s="325">
        <v>0</v>
      </c>
      <c r="D72" s="325">
        <f t="shared" si="4"/>
        <v>2475.055875</v>
      </c>
      <c r="E72" s="96" t="s">
        <v>120</v>
      </c>
      <c r="F72" s="96" t="s">
        <v>120</v>
      </c>
      <c r="G72" s="332">
        <v>10656.363370657111</v>
      </c>
      <c r="H72" s="325">
        <f t="shared" si="0"/>
        <v>62499.019269496515</v>
      </c>
      <c r="I72" s="7"/>
    </row>
    <row r="73" spans="1:9" x14ac:dyDescent="0.3">
      <c r="A73" s="169">
        <v>64</v>
      </c>
      <c r="B73" s="169">
        <f t="shared" si="1"/>
        <v>2078</v>
      </c>
      <c r="C73" s="325">
        <v>0</v>
      </c>
      <c r="D73" s="325">
        <f t="shared" si="4"/>
        <v>2475.055875</v>
      </c>
      <c r="E73" s="96" t="s">
        <v>120</v>
      </c>
      <c r="F73" s="96" t="s">
        <v>120</v>
      </c>
      <c r="G73" s="332">
        <v>10646.083784023673</v>
      </c>
      <c r="H73" s="325">
        <f t="shared" si="0"/>
        <v>62441.117571671995</v>
      </c>
      <c r="I73" s="7"/>
    </row>
    <row r="74" spans="1:9" x14ac:dyDescent="0.3">
      <c r="A74" s="169">
        <v>65</v>
      </c>
      <c r="B74" s="169">
        <f t="shared" si="1"/>
        <v>2079</v>
      </c>
      <c r="C74" s="325">
        <v>0</v>
      </c>
      <c r="D74" s="325">
        <f t="shared" si="4"/>
        <v>2475.055875</v>
      </c>
      <c r="E74" s="96" t="s">
        <v>120</v>
      </c>
      <c r="F74" s="96" t="s">
        <v>120</v>
      </c>
      <c r="G74" s="332">
        <v>10636.05577443628</v>
      </c>
      <c r="H74" s="325">
        <f t="shared" si="0"/>
        <v>62384.632928697945</v>
      </c>
      <c r="I74" s="7"/>
    </row>
    <row r="75" spans="1:9" x14ac:dyDescent="0.3">
      <c r="A75" s="169">
        <v>66</v>
      </c>
      <c r="B75" s="169">
        <f t="shared" si="1"/>
        <v>2080</v>
      </c>
      <c r="C75" s="325">
        <v>0</v>
      </c>
      <c r="D75" s="325">
        <f t="shared" si="4"/>
        <v>2475.055875</v>
      </c>
      <c r="E75" s="96" t="s">
        <v>120</v>
      </c>
      <c r="F75" s="96" t="s">
        <v>120</v>
      </c>
      <c r="G75" s="332">
        <v>10626.267312581907</v>
      </c>
      <c r="H75" s="325">
        <f t="shared" ref="H75:H108" si="5">+(G75*$H$5)+D75+C75</f>
        <v>62329.497583214783</v>
      </c>
      <c r="I75" s="7"/>
    </row>
    <row r="76" spans="1:9" x14ac:dyDescent="0.3">
      <c r="A76" s="169">
        <v>67</v>
      </c>
      <c r="B76" s="169">
        <f t="shared" ref="B76:B109" si="6">+B75+1</f>
        <v>2081</v>
      </c>
      <c r="C76" s="325">
        <v>0</v>
      </c>
      <c r="D76" s="325">
        <f t="shared" si="4"/>
        <v>2475.055875</v>
      </c>
      <c r="E76" s="96" t="s">
        <v>120</v>
      </c>
      <c r="F76" s="96" t="s">
        <v>120</v>
      </c>
      <c r="G76" s="332">
        <v>10616.684716561633</v>
      </c>
      <c r="H76" s="325">
        <f t="shared" si="5"/>
        <v>62275.521815615772</v>
      </c>
      <c r="I76" s="7"/>
    </row>
    <row r="77" spans="1:9" x14ac:dyDescent="0.3">
      <c r="A77" s="169">
        <v>68</v>
      </c>
      <c r="B77" s="169">
        <f t="shared" si="6"/>
        <v>2082</v>
      </c>
      <c r="C77" s="325">
        <v>0</v>
      </c>
      <c r="D77" s="325">
        <f t="shared" si="4"/>
        <v>2475.055875</v>
      </c>
      <c r="E77" s="96" t="s">
        <v>120</v>
      </c>
      <c r="F77" s="96" t="s">
        <v>120</v>
      </c>
      <c r="G77" s="332">
        <v>10607.292847970915</v>
      </c>
      <c r="H77" s="325">
        <f t="shared" si="5"/>
        <v>62222.620356000814</v>
      </c>
      <c r="I77" s="7"/>
    </row>
    <row r="78" spans="1:9" x14ac:dyDescent="0.3">
      <c r="A78" s="169">
        <v>69</v>
      </c>
      <c r="B78" s="169">
        <f t="shared" si="6"/>
        <v>2083</v>
      </c>
      <c r="C78" s="325">
        <v>0</v>
      </c>
      <c r="D78" s="325">
        <f t="shared" si="4"/>
        <v>2475.055875</v>
      </c>
      <c r="E78" s="96" t="s">
        <v>120</v>
      </c>
      <c r="F78" s="96" t="s">
        <v>120</v>
      </c>
      <c r="G78" s="332">
        <v>10598.132044147356</v>
      </c>
      <c r="H78" s="325">
        <f t="shared" si="5"/>
        <v>62171.020411982056</v>
      </c>
      <c r="I78" s="7"/>
    </row>
    <row r="79" spans="1:9" x14ac:dyDescent="0.3">
      <c r="A79" s="169">
        <v>70</v>
      </c>
      <c r="B79" s="169">
        <f t="shared" si="6"/>
        <v>2084</v>
      </c>
      <c r="C79" s="325">
        <v>0</v>
      </c>
      <c r="D79" s="325">
        <f t="shared" si="4"/>
        <v>2475.055875</v>
      </c>
      <c r="E79" s="96" t="s">
        <v>120</v>
      </c>
      <c r="F79" s="96" t="s">
        <v>120</v>
      </c>
      <c r="G79" s="332">
        <v>10589.171601036671</v>
      </c>
      <c r="H79" s="325">
        <f t="shared" si="5"/>
        <v>62120.54903722064</v>
      </c>
      <c r="I79" s="7"/>
    </row>
    <row r="80" spans="1:9" x14ac:dyDescent="0.3">
      <c r="A80" s="169">
        <v>71</v>
      </c>
      <c r="B80" s="169">
        <f t="shared" si="6"/>
        <v>2085</v>
      </c>
      <c r="C80" s="325">
        <v>0</v>
      </c>
      <c r="D80" s="325">
        <f t="shared" ref="D80:D109" si="7">$H$3*$H$4</f>
        <v>2475.055875</v>
      </c>
      <c r="E80" s="96" t="s">
        <v>120</v>
      </c>
      <c r="F80" s="96" t="s">
        <v>120</v>
      </c>
      <c r="G80" s="332">
        <v>10580.417200795984</v>
      </c>
      <c r="H80" s="325">
        <f t="shared" si="5"/>
        <v>62071.238237531252</v>
      </c>
      <c r="I80" s="7"/>
    </row>
    <row r="81" spans="1:9" x14ac:dyDescent="0.3">
      <c r="A81" s="169">
        <v>72</v>
      </c>
      <c r="B81" s="169">
        <f t="shared" si="6"/>
        <v>2086</v>
      </c>
      <c r="C81" s="325">
        <v>0</v>
      </c>
      <c r="D81" s="325">
        <f t="shared" si="7"/>
        <v>2475.055875</v>
      </c>
      <c r="E81" s="96" t="s">
        <v>120</v>
      </c>
      <c r="F81" s="96" t="s">
        <v>120</v>
      </c>
      <c r="G81" s="332">
        <v>10571.834683984822</v>
      </c>
      <c r="H81" s="325">
        <f t="shared" si="5"/>
        <v>62022.895603464895</v>
      </c>
      <c r="I81" s="7"/>
    </row>
    <row r="82" spans="1:9" x14ac:dyDescent="0.3">
      <c r="A82" s="169">
        <v>73</v>
      </c>
      <c r="B82" s="169">
        <f t="shared" si="6"/>
        <v>2087</v>
      </c>
      <c r="C82" s="325">
        <v>0</v>
      </c>
      <c r="D82" s="325">
        <f t="shared" si="7"/>
        <v>2475.055875</v>
      </c>
      <c r="E82" s="96" t="s">
        <v>120</v>
      </c>
      <c r="F82" s="96" t="s">
        <v>120</v>
      </c>
      <c r="G82" s="332">
        <v>10563.480833474661</v>
      </c>
      <c r="H82" s="325">
        <f t="shared" si="5"/>
        <v>61975.840975184699</v>
      </c>
      <c r="I82" s="7"/>
    </row>
    <row r="83" spans="1:9" x14ac:dyDescent="0.3">
      <c r="A83" s="169">
        <v>74</v>
      </c>
      <c r="B83" s="169">
        <f t="shared" si="6"/>
        <v>2088</v>
      </c>
      <c r="C83" s="325">
        <v>0</v>
      </c>
      <c r="D83" s="325">
        <f t="shared" si="7"/>
        <v>2475.055875</v>
      </c>
      <c r="E83" s="611" t="s">
        <v>120</v>
      </c>
      <c r="F83" s="611" t="s">
        <v>120</v>
      </c>
      <c r="G83" s="332">
        <v>10556.44993061113</v>
      </c>
      <c r="H83" s="325">
        <f t="shared" si="5"/>
        <v>61936.238097408124</v>
      </c>
      <c r="I83" s="7"/>
    </row>
    <row r="84" spans="1:9" x14ac:dyDescent="0.3">
      <c r="A84" s="169">
        <v>75</v>
      </c>
      <c r="B84" s="169">
        <f t="shared" si="6"/>
        <v>2089</v>
      </c>
      <c r="C84" s="325">
        <v>0</v>
      </c>
      <c r="D84" s="325">
        <f t="shared" si="7"/>
        <v>2475.055875</v>
      </c>
      <c r="E84" s="611" t="s">
        <v>120</v>
      </c>
      <c r="F84" s="611" t="s">
        <v>120</v>
      </c>
      <c r="G84" s="332">
        <v>10549.59560153144</v>
      </c>
      <c r="H84" s="325">
        <f t="shared" si="5"/>
        <v>61897.629804554112</v>
      </c>
      <c r="I84" s="7"/>
    </row>
    <row r="85" spans="1:9" x14ac:dyDescent="0.3">
      <c r="A85" s="169">
        <v>76</v>
      </c>
      <c r="B85" s="169">
        <f t="shared" si="6"/>
        <v>2090</v>
      </c>
      <c r="C85" s="325">
        <v>0</v>
      </c>
      <c r="D85" s="325">
        <f t="shared" si="7"/>
        <v>2475.055875</v>
      </c>
      <c r="E85" s="96" t="s">
        <v>120</v>
      </c>
      <c r="F85" s="96" t="s">
        <v>120</v>
      </c>
      <c r="G85" s="332">
        <v>10542.849464250075</v>
      </c>
      <c r="H85" s="325">
        <f t="shared" si="5"/>
        <v>61859.630922276323</v>
      </c>
      <c r="I85" s="7"/>
    </row>
    <row r="86" spans="1:9" x14ac:dyDescent="0.3">
      <c r="A86" s="169">
        <v>77</v>
      </c>
      <c r="B86" s="169">
        <f t="shared" si="6"/>
        <v>2091</v>
      </c>
      <c r="C86" s="325">
        <v>0</v>
      </c>
      <c r="D86" s="325">
        <f t="shared" si="7"/>
        <v>2475.055875</v>
      </c>
      <c r="E86" s="96" t="s">
        <v>120</v>
      </c>
      <c r="F86" s="96" t="s">
        <v>120</v>
      </c>
      <c r="G86" s="332">
        <v>10536.251415732553</v>
      </c>
      <c r="H86" s="325">
        <f t="shared" si="5"/>
        <v>61822.466177708644</v>
      </c>
      <c r="I86" s="7"/>
    </row>
    <row r="87" spans="1:9" x14ac:dyDescent="0.3">
      <c r="A87" s="169">
        <v>78</v>
      </c>
      <c r="B87" s="169">
        <f t="shared" si="6"/>
        <v>2092</v>
      </c>
      <c r="C87" s="325">
        <v>0</v>
      </c>
      <c r="D87" s="325">
        <f t="shared" si="7"/>
        <v>2475.055875</v>
      </c>
      <c r="E87" s="96" t="s">
        <v>120</v>
      </c>
      <c r="F87" s="96" t="s">
        <v>120</v>
      </c>
      <c r="G87" s="332">
        <v>10529.771388326777</v>
      </c>
      <c r="H87" s="325">
        <f t="shared" si="5"/>
        <v>61785.966209166785</v>
      </c>
      <c r="I87" s="7"/>
    </row>
    <row r="88" spans="1:9" x14ac:dyDescent="0.3">
      <c r="A88" s="169">
        <v>79</v>
      </c>
      <c r="B88" s="169">
        <f t="shared" si="6"/>
        <v>2093</v>
      </c>
      <c r="C88" s="325">
        <v>0</v>
      </c>
      <c r="D88" s="325">
        <f t="shared" si="7"/>
        <v>2475.055875</v>
      </c>
      <c r="E88" s="96" t="s">
        <v>120</v>
      </c>
      <c r="F88" s="96" t="s">
        <v>120</v>
      </c>
      <c r="G88" s="332">
        <v>10523.407375942257</v>
      </c>
      <c r="H88" s="325">
        <f t="shared" si="5"/>
        <v>61750.11971697017</v>
      </c>
      <c r="I88" s="7"/>
    </row>
    <row r="89" spans="1:9" x14ac:dyDescent="0.3">
      <c r="A89" s="169">
        <v>80</v>
      </c>
      <c r="B89" s="169">
        <f t="shared" si="6"/>
        <v>2094</v>
      </c>
      <c r="C89" s="325">
        <v>0</v>
      </c>
      <c r="D89" s="325">
        <f t="shared" si="7"/>
        <v>2475.055875</v>
      </c>
      <c r="E89" s="96" t="s">
        <v>120</v>
      </c>
      <c r="F89" s="96" t="s">
        <v>120</v>
      </c>
      <c r="G89" s="332">
        <v>10517.150333163974</v>
      </c>
      <c r="H89" s="325">
        <f t="shared" si="5"/>
        <v>61714.875751123844</v>
      </c>
      <c r="I89" s="7"/>
    </row>
    <row r="90" spans="1:9" x14ac:dyDescent="0.3">
      <c r="A90" s="169">
        <v>81</v>
      </c>
      <c r="B90" s="169">
        <f t="shared" si="6"/>
        <v>2095</v>
      </c>
      <c r="C90" s="325">
        <v>0</v>
      </c>
      <c r="D90" s="325">
        <f t="shared" si="7"/>
        <v>2475.055875</v>
      </c>
      <c r="E90" s="96" t="s">
        <v>120</v>
      </c>
      <c r="F90" s="96" t="s">
        <v>120</v>
      </c>
      <c r="G90" s="332">
        <v>10510.961862477658</v>
      </c>
      <c r="H90" s="325">
        <f t="shared" si="5"/>
        <v>61680.018030434047</v>
      </c>
      <c r="I90" s="7"/>
    </row>
    <row r="91" spans="1:9" x14ac:dyDescent="0.3">
      <c r="A91" s="169">
        <v>82</v>
      </c>
      <c r="B91" s="169">
        <f t="shared" si="6"/>
        <v>2096</v>
      </c>
      <c r="C91" s="325">
        <v>0</v>
      </c>
      <c r="D91" s="325">
        <f t="shared" si="7"/>
        <v>2475.055875</v>
      </c>
      <c r="E91" s="96" t="s">
        <v>120</v>
      </c>
      <c r="F91" s="96" t="s">
        <v>120</v>
      </c>
      <c r="G91" s="332">
        <v>10504.875898261937</v>
      </c>
      <c r="H91" s="325">
        <f t="shared" si="5"/>
        <v>61645.737696646764</v>
      </c>
      <c r="I91" s="7"/>
    </row>
    <row r="92" spans="1:9" x14ac:dyDescent="0.3">
      <c r="A92" s="169">
        <v>83</v>
      </c>
      <c r="B92" s="169">
        <f t="shared" si="6"/>
        <v>2097</v>
      </c>
      <c r="C92" s="325">
        <v>0</v>
      </c>
      <c r="D92" s="325">
        <f t="shared" si="7"/>
        <v>2475.055875</v>
      </c>
      <c r="E92" s="96" t="s">
        <v>120</v>
      </c>
      <c r="F92" s="96" t="s">
        <v>120</v>
      </c>
      <c r="G92" s="332">
        <v>10498.902684081351</v>
      </c>
      <c r="H92" s="325">
        <f t="shared" si="5"/>
        <v>61612.092448558644</v>
      </c>
      <c r="I92" s="7"/>
    </row>
    <row r="93" spans="1:9" x14ac:dyDescent="0.3">
      <c r="A93" s="169">
        <v>84</v>
      </c>
      <c r="B93" s="169">
        <f t="shared" si="6"/>
        <v>2098</v>
      </c>
      <c r="C93" s="325">
        <v>0</v>
      </c>
      <c r="D93" s="325">
        <f t="shared" si="7"/>
        <v>2475.055875</v>
      </c>
      <c r="E93" s="96" t="s">
        <v>120</v>
      </c>
      <c r="F93" s="96" t="s">
        <v>120</v>
      </c>
      <c r="G93" s="332">
        <v>10493.058814145819</v>
      </c>
      <c r="H93" s="325">
        <f t="shared" si="5"/>
        <v>61579.175756166333</v>
      </c>
      <c r="I93" s="7"/>
    </row>
    <row r="94" spans="1:9" x14ac:dyDescent="0.3">
      <c r="A94" s="169">
        <v>85</v>
      </c>
      <c r="B94" s="169">
        <f t="shared" si="6"/>
        <v>2099</v>
      </c>
      <c r="C94" s="325">
        <v>0</v>
      </c>
      <c r="D94" s="325">
        <f t="shared" si="7"/>
        <v>2475.055875</v>
      </c>
      <c r="E94" s="96" t="s">
        <v>120</v>
      </c>
      <c r="F94" s="96" t="s">
        <v>120</v>
      </c>
      <c r="G94" s="332">
        <v>10487.274714781224</v>
      </c>
      <c r="H94" s="325">
        <f t="shared" si="5"/>
        <v>61546.595732714188</v>
      </c>
      <c r="I94" s="7"/>
    </row>
    <row r="95" spans="1:9" x14ac:dyDescent="0.3">
      <c r="A95" s="169">
        <v>86</v>
      </c>
      <c r="B95" s="169">
        <f t="shared" si="6"/>
        <v>2100</v>
      </c>
      <c r="C95" s="325">
        <v>0</v>
      </c>
      <c r="D95" s="325">
        <f>$H$3*$H$4</f>
        <v>2475.055875</v>
      </c>
      <c r="E95" s="96" t="s">
        <v>120</v>
      </c>
      <c r="F95" s="96" t="s">
        <v>120</v>
      </c>
      <c r="G95" s="332">
        <v>10481.549323044046</v>
      </c>
      <c r="H95" s="325">
        <f t="shared" si="5"/>
        <v>61514.346390973667</v>
      </c>
      <c r="I95" s="7"/>
    </row>
    <row r="96" spans="1:9" x14ac:dyDescent="0.3">
      <c r="A96" s="169">
        <v>87</v>
      </c>
      <c r="B96" s="169">
        <f t="shared" si="6"/>
        <v>2101</v>
      </c>
      <c r="C96" s="325">
        <v>0</v>
      </c>
      <c r="D96" s="325">
        <f t="shared" si="7"/>
        <v>2475.055875</v>
      </c>
      <c r="E96" s="96" t="s">
        <v>120</v>
      </c>
      <c r="F96" s="96" t="s">
        <v>120</v>
      </c>
      <c r="G96" s="332">
        <v>10475.954273273393</v>
      </c>
      <c r="H96" s="325">
        <f t="shared" si="5"/>
        <v>61482.831224782094</v>
      </c>
      <c r="I96" s="7"/>
    </row>
    <row r="97" spans="1:9" x14ac:dyDescent="0.3">
      <c r="A97" s="169">
        <v>88</v>
      </c>
      <c r="B97" s="169">
        <f t="shared" si="6"/>
        <v>2102</v>
      </c>
      <c r="C97" s="325">
        <v>0</v>
      </c>
      <c r="D97" s="325">
        <f t="shared" si="7"/>
        <v>2475.055875</v>
      </c>
      <c r="E97" s="96" t="s">
        <v>120</v>
      </c>
      <c r="F97" s="96" t="s">
        <v>120</v>
      </c>
      <c r="G97" s="332">
        <v>10470.452531988703</v>
      </c>
      <c r="H97" s="325">
        <f t="shared" si="5"/>
        <v>61451.841636121149</v>
      </c>
      <c r="I97" s="7"/>
    </row>
    <row r="98" spans="1:9" x14ac:dyDescent="0.3">
      <c r="A98" s="169">
        <v>89</v>
      </c>
      <c r="B98" s="169">
        <f t="shared" si="6"/>
        <v>2103</v>
      </c>
      <c r="C98" s="325">
        <v>0</v>
      </c>
      <c r="D98" s="325">
        <f t="shared" si="7"/>
        <v>2475.055875</v>
      </c>
      <c r="E98" s="96" t="s">
        <v>120</v>
      </c>
      <c r="F98" s="96" t="s">
        <v>120</v>
      </c>
      <c r="G98" s="332">
        <v>10465.038761254147</v>
      </c>
      <c r="H98" s="325">
        <f t="shared" si="5"/>
        <v>61421.347558067093</v>
      </c>
      <c r="I98" s="7"/>
    </row>
    <row r="99" spans="1:9" x14ac:dyDescent="0.3">
      <c r="A99" s="169">
        <v>90</v>
      </c>
      <c r="B99" s="169">
        <f t="shared" si="6"/>
        <v>2104</v>
      </c>
      <c r="C99" s="325">
        <v>0</v>
      </c>
      <c r="D99" s="325">
        <f t="shared" si="7"/>
        <v>2475.055875</v>
      </c>
      <c r="E99" s="96" t="s">
        <v>120</v>
      </c>
      <c r="F99" s="96" t="s">
        <v>120</v>
      </c>
      <c r="G99" s="332">
        <v>10459.716092242003</v>
      </c>
      <c r="H99" s="325">
        <f t="shared" si="5"/>
        <v>61391.366627534473</v>
      </c>
      <c r="I99" s="7"/>
    </row>
    <row r="100" spans="1:9" x14ac:dyDescent="0.3">
      <c r="A100" s="169">
        <v>91</v>
      </c>
      <c r="B100" s="169">
        <f t="shared" si="6"/>
        <v>2105</v>
      </c>
      <c r="C100" s="325">
        <v>0</v>
      </c>
      <c r="D100" s="325">
        <f t="shared" si="7"/>
        <v>2475.055875</v>
      </c>
      <c r="E100" s="96" t="s">
        <v>120</v>
      </c>
      <c r="F100" s="96" t="s">
        <v>120</v>
      </c>
      <c r="G100" s="332">
        <v>10454.483530197724</v>
      </c>
      <c r="H100" s="325">
        <f t="shared" si="5"/>
        <v>61361.893241381928</v>
      </c>
      <c r="I100" s="7"/>
    </row>
    <row r="101" spans="1:9" x14ac:dyDescent="0.3">
      <c r="A101" s="169">
        <v>92</v>
      </c>
      <c r="B101" s="169">
        <f t="shared" si="6"/>
        <v>2106</v>
      </c>
      <c r="C101" s="325">
        <v>0</v>
      </c>
      <c r="D101" s="325">
        <f t="shared" si="7"/>
        <v>2475.055875</v>
      </c>
      <c r="E101" s="96" t="s">
        <v>120</v>
      </c>
      <c r="F101" s="96" t="s">
        <v>120</v>
      </c>
      <c r="G101" s="332">
        <v>10449.360632464484</v>
      </c>
      <c r="H101" s="325">
        <f t="shared" si="5"/>
        <v>61333.03756000939</v>
      </c>
      <c r="I101" s="7"/>
    </row>
    <row r="102" spans="1:9" x14ac:dyDescent="0.3">
      <c r="A102" s="169">
        <v>93</v>
      </c>
      <c r="B102" s="169">
        <f t="shared" si="6"/>
        <v>2107</v>
      </c>
      <c r="C102" s="325">
        <v>0</v>
      </c>
      <c r="D102" s="325">
        <f t="shared" si="7"/>
        <v>2475.055875</v>
      </c>
      <c r="E102" s="96" t="s">
        <v>120</v>
      </c>
      <c r="F102" s="96" t="s">
        <v>120</v>
      </c>
      <c r="G102" s="332">
        <v>10444.333949152613</v>
      </c>
      <c r="H102" s="325">
        <f t="shared" si="5"/>
        <v>61304.723824393135</v>
      </c>
      <c r="I102" s="7"/>
    </row>
    <row r="103" spans="1:9" x14ac:dyDescent="0.3">
      <c r="A103" s="169">
        <v>94</v>
      </c>
      <c r="B103" s="169">
        <f t="shared" si="6"/>
        <v>2108</v>
      </c>
      <c r="C103" s="325">
        <v>0</v>
      </c>
      <c r="D103" s="325">
        <f t="shared" si="7"/>
        <v>2475.055875</v>
      </c>
      <c r="E103" s="96" t="s">
        <v>120</v>
      </c>
      <c r="F103" s="96" t="s">
        <v>120</v>
      </c>
      <c r="G103" s="332">
        <v>10439.351818903966</v>
      </c>
      <c r="H103" s="325">
        <f t="shared" si="5"/>
        <v>61276.661042253516</v>
      </c>
      <c r="I103" s="7"/>
    </row>
    <row r="104" spans="1:9" x14ac:dyDescent="0.3">
      <c r="A104" s="169">
        <v>95</v>
      </c>
      <c r="B104" s="169">
        <f t="shared" si="6"/>
        <v>2109</v>
      </c>
      <c r="C104" s="325">
        <v>0</v>
      </c>
      <c r="D104" s="325">
        <f t="shared" si="7"/>
        <v>2475.055875</v>
      </c>
      <c r="E104" s="96" t="s">
        <v>120</v>
      </c>
      <c r="F104" s="96" t="s">
        <v>120</v>
      </c>
      <c r="G104" s="332">
        <v>10434.484595625298</v>
      </c>
      <c r="H104" s="325">
        <f>+(G104*$H$5)+D104+C104</f>
        <v>61249.245495152703</v>
      </c>
      <c r="I104" s="7"/>
    </row>
    <row r="105" spans="1:9" x14ac:dyDescent="0.3">
      <c r="A105" s="169">
        <v>96</v>
      </c>
      <c r="B105" s="169">
        <f t="shared" si="6"/>
        <v>2110</v>
      </c>
      <c r="C105" s="325">
        <v>0</v>
      </c>
      <c r="D105" s="325">
        <f t="shared" si="7"/>
        <v>2475.055875</v>
      </c>
      <c r="E105" s="96" t="s">
        <v>120</v>
      </c>
      <c r="F105" s="96" t="s">
        <v>120</v>
      </c>
      <c r="G105" s="332">
        <v>10429.656147175925</v>
      </c>
      <c r="H105" s="325">
        <f t="shared" si="5"/>
        <v>61222.048354543236</v>
      </c>
      <c r="I105" s="7"/>
    </row>
    <row r="106" spans="1:9" x14ac:dyDescent="0.3">
      <c r="A106" s="169">
        <v>97</v>
      </c>
      <c r="B106" s="169">
        <f t="shared" si="6"/>
        <v>2111</v>
      </c>
      <c r="C106" s="325">
        <v>0</v>
      </c>
      <c r="D106" s="325">
        <f t="shared" si="7"/>
        <v>2475.055875</v>
      </c>
      <c r="E106" s="96" t="s">
        <v>120</v>
      </c>
      <c r="F106" s="96" t="s">
        <v>120</v>
      </c>
      <c r="G106" s="332">
        <v>10424.914606162114</v>
      </c>
      <c r="H106" s="325">
        <f t="shared" si="5"/>
        <v>61195.340736348626</v>
      </c>
      <c r="I106" s="7"/>
    </row>
    <row r="107" spans="1:9" x14ac:dyDescent="0.3">
      <c r="A107" s="169">
        <v>98</v>
      </c>
      <c r="B107" s="169">
        <f t="shared" si="6"/>
        <v>2112</v>
      </c>
      <c r="C107" s="325">
        <v>0</v>
      </c>
      <c r="D107" s="325">
        <f t="shared" si="7"/>
        <v>2475.055875</v>
      </c>
      <c r="E107" s="96" t="s">
        <v>120</v>
      </c>
      <c r="F107" s="96" t="s">
        <v>120</v>
      </c>
      <c r="G107" s="332">
        <v>10420.243243731593</v>
      </c>
      <c r="H107" s="325">
        <f t="shared" si="5"/>
        <v>61169.028412173939</v>
      </c>
      <c r="I107" s="7"/>
    </row>
    <row r="108" spans="1:9" x14ac:dyDescent="0.3">
      <c r="A108" s="169">
        <v>99</v>
      </c>
      <c r="B108" s="169">
        <f t="shared" si="6"/>
        <v>2113</v>
      </c>
      <c r="C108" s="325">
        <v>0</v>
      </c>
      <c r="D108" s="325">
        <f t="shared" si="7"/>
        <v>2475.055875</v>
      </c>
      <c r="E108" s="96" t="s">
        <v>120</v>
      </c>
      <c r="F108" s="96" t="s">
        <v>120</v>
      </c>
      <c r="G108" s="332">
        <v>10415.643391011057</v>
      </c>
      <c r="H108" s="325">
        <f t="shared" si="5"/>
        <v>61143.118879839691</v>
      </c>
      <c r="I108" s="7"/>
    </row>
    <row r="109" spans="1:9" x14ac:dyDescent="0.3">
      <c r="A109" s="169">
        <v>100</v>
      </c>
      <c r="B109" s="169">
        <f t="shared" si="6"/>
        <v>2114</v>
      </c>
      <c r="C109" s="325">
        <v>0</v>
      </c>
      <c r="D109" s="325">
        <f t="shared" si="7"/>
        <v>2475.055875</v>
      </c>
      <c r="E109" s="96" t="s">
        <v>120</v>
      </c>
      <c r="F109" s="96" t="s">
        <v>120</v>
      </c>
      <c r="G109" s="332">
        <v>10411.135581728951</v>
      </c>
      <c r="H109" s="325">
        <f>+(G109*$H$5)+D109+C109</f>
        <v>61117.727799418812</v>
      </c>
      <c r="I109" s="7"/>
    </row>
    <row r="110" spans="1:9" x14ac:dyDescent="0.3">
      <c r="A110" s="686" t="s">
        <v>55</v>
      </c>
      <c r="B110" s="686"/>
      <c r="C110" s="525">
        <f t="shared" ref="C110:G110" si="8">SUM(C9:C109)</f>
        <v>990022.35</v>
      </c>
      <c r="D110" s="525">
        <f t="shared" si="8"/>
        <v>225230.08462499976</v>
      </c>
      <c r="E110" s="547">
        <f t="shared" si="8"/>
        <v>0</v>
      </c>
      <c r="F110" s="547">
        <f t="shared" si="8"/>
        <v>0</v>
      </c>
      <c r="G110" s="526">
        <f t="shared" si="8"/>
        <v>1265297.4333568248</v>
      </c>
      <c r="H110" s="525">
        <f>SUM(H9:H109)</f>
        <v>8342277.3099298263</v>
      </c>
      <c r="I110" s="7"/>
    </row>
    <row r="111" spans="1:9" x14ac:dyDescent="0.3">
      <c r="A111" s="7" t="s">
        <v>67</v>
      </c>
    </row>
    <row r="112" spans="1:9" ht="44.25" customHeight="1" x14ac:dyDescent="0.3">
      <c r="A112" s="703" t="s">
        <v>663</v>
      </c>
      <c r="B112" s="703"/>
      <c r="C112" s="703"/>
      <c r="D112" s="703"/>
      <c r="E112" s="703"/>
      <c r="F112" s="703"/>
      <c r="G112" s="703"/>
      <c r="H112" s="703"/>
    </row>
    <row r="113" spans="1:9" x14ac:dyDescent="0.3">
      <c r="A113" s="703" t="s">
        <v>664</v>
      </c>
      <c r="B113" s="703"/>
      <c r="C113" s="703"/>
      <c r="D113" s="703"/>
      <c r="E113" s="703"/>
      <c r="F113" s="703"/>
      <c r="G113" s="703"/>
      <c r="H113" s="703"/>
    </row>
    <row r="114" spans="1:9" x14ac:dyDescent="0.3">
      <c r="A114" s="703" t="s">
        <v>668</v>
      </c>
      <c r="B114" s="703"/>
      <c r="C114" s="703"/>
      <c r="D114" s="703"/>
      <c r="E114" s="703"/>
      <c r="F114" s="703"/>
      <c r="G114" s="703"/>
      <c r="H114" s="703"/>
    </row>
    <row r="115" spans="1:9" x14ac:dyDescent="0.3">
      <c r="A115" s="6" t="s">
        <v>82</v>
      </c>
      <c r="I115" s="7"/>
    </row>
    <row r="116" spans="1:9" x14ac:dyDescent="0.3">
      <c r="A116" s="7" t="s">
        <v>83</v>
      </c>
    </row>
    <row r="121" spans="1:9" hidden="1" x14ac:dyDescent="0.3">
      <c r="D121" s="529">
        <v>80520</v>
      </c>
    </row>
  </sheetData>
  <sheetProtection algorithmName="SHA-512" hashValue="wdT7pfNjuCWYhuOZPTED6IUhAVSx0X2Y6HuWnSIix7Nc4V9E8rF4zJdXV057TreKhpySHFLOFeg2It0hwvoSrQ==" saltValue="cjsZiPYHrasC+CtJV2/Wvg==" spinCount="100000" sheet="1" objects="1" scenarios="1"/>
  <mergeCells count="9">
    <mergeCell ref="A114:H114"/>
    <mergeCell ref="A113:H113"/>
    <mergeCell ref="A112:H112"/>
    <mergeCell ref="G2:H2"/>
    <mergeCell ref="A110:B110"/>
    <mergeCell ref="A4:B4"/>
    <mergeCell ref="A5:B5"/>
    <mergeCell ref="A6:B6"/>
    <mergeCell ref="A7:B7"/>
  </mergeCells>
  <pageMargins left="0.7" right="0.7" top="0.75" bottom="0.75" header="0.6" footer="0.3"/>
  <pageSetup paperSize="17" scale="63" fitToHeight="0" orientation="portrait" horizontalDpi="1200" verticalDpi="1200" r:id="rId1"/>
  <headerFooter scaleWithDoc="0">
    <oddFooter>&amp;R&amp;"Arial,Regular"&amp;8&amp;P of 2</oddFooter>
  </headerFooter>
  <rowBreaks count="1" manualBreakCount="1">
    <brk id="83"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2:M122"/>
  <sheetViews>
    <sheetView view="pageBreakPreview" zoomScale="118" zoomScaleNormal="100" zoomScaleSheetLayoutView="118" workbookViewId="0">
      <pane xSplit="2" ySplit="9" topLeftCell="C103" activePane="bottomRight" state="frozen"/>
      <selection pane="topRight" activeCell="G32" sqref="G32"/>
      <selection pane="bottomLeft" activeCell="G32" sqref="G32"/>
      <selection pane="bottomRight" activeCell="C4" sqref="C4"/>
    </sheetView>
  </sheetViews>
  <sheetFormatPr defaultColWidth="9.26953125" defaultRowHeight="14" x14ac:dyDescent="0.3"/>
  <cols>
    <col min="1" max="1" width="10.26953125" style="7" customWidth="1"/>
    <col min="2" max="2" width="9.26953125" style="7"/>
    <col min="3" max="3" width="12.26953125" style="7" bestFit="1" customWidth="1"/>
    <col min="4" max="7" width="18.36328125" style="7" customWidth="1"/>
    <col min="8" max="8" width="17.26953125" style="22" customWidth="1"/>
    <col min="9" max="9" width="17" style="7" customWidth="1"/>
    <col min="10" max="10" width="16.26953125" style="7" customWidth="1"/>
    <col min="11" max="11" width="15.36328125" style="7" customWidth="1"/>
    <col min="12" max="12" width="13.26953125" style="90" customWidth="1"/>
    <col min="13" max="16384" width="9.26953125" style="90"/>
  </cols>
  <sheetData>
    <row r="2" spans="1:13" x14ac:dyDescent="0.3">
      <c r="J2" s="685" t="s">
        <v>10</v>
      </c>
      <c r="K2" s="685"/>
    </row>
    <row r="3" spans="1:13" ht="20.25" customHeight="1" x14ac:dyDescent="0.35">
      <c r="A3" s="3"/>
      <c r="B3" s="3"/>
      <c r="C3" s="3"/>
      <c r="E3" s="7" t="s">
        <v>0</v>
      </c>
      <c r="F3" s="2" t="s">
        <v>0</v>
      </c>
      <c r="I3" s="466"/>
      <c r="J3" s="516" t="s">
        <v>123</v>
      </c>
      <c r="K3" s="574">
        <v>1895029.9390000002</v>
      </c>
    </row>
    <row r="4" spans="1:13" x14ac:dyDescent="0.3">
      <c r="A4" s="688" t="s">
        <v>1</v>
      </c>
      <c r="B4" s="689"/>
      <c r="C4" s="118" t="str">
        <f>'2019 CCP Summary'!B4</f>
        <v>REV 0 July 29, 2019</v>
      </c>
      <c r="E4" s="118"/>
      <c r="F4" s="118"/>
      <c r="G4" s="118"/>
      <c r="H4" s="319"/>
      <c r="I4" s="6"/>
      <c r="J4" s="516" t="s">
        <v>108</v>
      </c>
      <c r="K4" s="574">
        <v>442426.85379802296</v>
      </c>
      <c r="L4" s="97"/>
    </row>
    <row r="5" spans="1:13" x14ac:dyDescent="0.3">
      <c r="A5" s="690" t="s">
        <v>2</v>
      </c>
      <c r="B5" s="689"/>
      <c r="C5" s="467">
        <f>'2019 CCP Summary'!B5</f>
        <v>18106417</v>
      </c>
      <c r="E5" s="6"/>
      <c r="F5" s="6"/>
      <c r="G5" s="6"/>
      <c r="I5" s="6"/>
      <c r="J5" s="516" t="s">
        <v>69</v>
      </c>
      <c r="K5" s="558">
        <v>1.7999999999999999E-2</v>
      </c>
      <c r="L5" s="518"/>
    </row>
    <row r="6" spans="1:13" x14ac:dyDescent="0.3">
      <c r="A6" s="690" t="s">
        <v>3</v>
      </c>
      <c r="B6" s="689"/>
      <c r="C6" s="6" t="s">
        <v>124</v>
      </c>
      <c r="E6" s="6"/>
      <c r="F6" s="6"/>
      <c r="G6" s="6"/>
      <c r="J6" s="516" t="s">
        <v>71</v>
      </c>
      <c r="K6" s="558">
        <v>1.4999999999999999E-2</v>
      </c>
      <c r="L6" s="119"/>
    </row>
    <row r="7" spans="1:13" ht="14.75" customHeight="1" x14ac:dyDescent="0.3">
      <c r="A7" s="691" t="s">
        <v>5</v>
      </c>
      <c r="B7" s="689"/>
      <c r="C7" s="466" t="str">
        <f>'2019 CCP Summary'!B7</f>
        <v>Tyrone Mine Closure Closeout Plan</v>
      </c>
      <c r="E7" s="6"/>
      <c r="F7" s="6"/>
      <c r="G7" s="6"/>
      <c r="J7" s="516" t="s">
        <v>72</v>
      </c>
      <c r="K7" s="559">
        <v>4.4694352896556322E-2</v>
      </c>
      <c r="L7" s="94" t="s">
        <v>0</v>
      </c>
      <c r="M7" s="90" t="s">
        <v>0</v>
      </c>
    </row>
    <row r="8" spans="1:13" ht="14.75" customHeight="1" x14ac:dyDescent="0.3">
      <c r="A8" s="201"/>
      <c r="B8" s="145"/>
      <c r="D8" s="6"/>
      <c r="E8" s="6"/>
      <c r="F8" s="6"/>
      <c r="G8" s="6"/>
      <c r="I8" s="6"/>
      <c r="J8" s="516" t="s">
        <v>73</v>
      </c>
      <c r="K8" s="559">
        <v>4.5333893342660331E-2</v>
      </c>
      <c r="L8" s="119" t="s">
        <v>0</v>
      </c>
      <c r="M8" s="90" t="s">
        <v>0</v>
      </c>
    </row>
    <row r="9" spans="1:13" ht="41" x14ac:dyDescent="0.3">
      <c r="A9" s="519" t="s">
        <v>74</v>
      </c>
      <c r="B9" s="519" t="s">
        <v>50</v>
      </c>
      <c r="C9" s="519" t="s">
        <v>649</v>
      </c>
      <c r="D9" s="520" t="s">
        <v>650</v>
      </c>
      <c r="E9" s="520" t="s">
        <v>651</v>
      </c>
      <c r="F9" s="520" t="s">
        <v>652</v>
      </c>
      <c r="G9" s="520" t="s">
        <v>653</v>
      </c>
      <c r="H9" s="521" t="s">
        <v>654</v>
      </c>
      <c r="I9" s="520" t="s">
        <v>118</v>
      </c>
      <c r="J9" s="520" t="s">
        <v>125</v>
      </c>
      <c r="K9" s="522" t="s">
        <v>81</v>
      </c>
    </row>
    <row r="10" spans="1:13" ht="14.5" x14ac:dyDescent="0.35">
      <c r="A10" s="169">
        <v>1</v>
      </c>
      <c r="B10" s="169">
        <v>2019</v>
      </c>
      <c r="C10" s="325">
        <v>0</v>
      </c>
      <c r="D10" s="325">
        <v>0</v>
      </c>
      <c r="E10" s="325">
        <v>0</v>
      </c>
      <c r="F10" s="325">
        <v>0</v>
      </c>
      <c r="G10" s="325">
        <v>0</v>
      </c>
      <c r="H10" s="89" t="s">
        <v>126</v>
      </c>
      <c r="I10" s="326">
        <v>0</v>
      </c>
      <c r="J10" s="325">
        <f>(I10)*0.04</f>
        <v>0</v>
      </c>
      <c r="K10" s="325">
        <f>SUM(C10:H10,J10)</f>
        <v>0</v>
      </c>
    </row>
    <row r="11" spans="1:13" ht="14.5" x14ac:dyDescent="0.35">
      <c r="A11" s="169">
        <v>2</v>
      </c>
      <c r="B11" s="169">
        <v>2020</v>
      </c>
      <c r="C11" s="325">
        <v>0</v>
      </c>
      <c r="D11" s="325">
        <v>0</v>
      </c>
      <c r="E11" s="325">
        <v>0</v>
      </c>
      <c r="F11" s="325">
        <v>0</v>
      </c>
      <c r="G11" s="325">
        <v>0</v>
      </c>
      <c r="H11" s="89" t="s">
        <v>126</v>
      </c>
      <c r="I11" s="326">
        <v>0</v>
      </c>
      <c r="J11" s="325">
        <f t="shared" ref="J11:J14" si="0">(I11)*0.04</f>
        <v>0</v>
      </c>
      <c r="K11" s="325">
        <f t="shared" ref="K11:K74" si="1">SUM(C11:H11,J11)</f>
        <v>0</v>
      </c>
    </row>
    <row r="12" spans="1:13" ht="14.5" x14ac:dyDescent="0.35">
      <c r="A12" s="169">
        <v>3</v>
      </c>
      <c r="B12" s="169">
        <v>2021</v>
      </c>
      <c r="C12" s="325">
        <v>0</v>
      </c>
      <c r="D12" s="325">
        <v>0</v>
      </c>
      <c r="E12" s="325">
        <v>0</v>
      </c>
      <c r="F12" s="325">
        <v>0</v>
      </c>
      <c r="G12" s="325">
        <v>0</v>
      </c>
      <c r="H12" s="89" t="s">
        <v>126</v>
      </c>
      <c r="I12" s="326">
        <v>0</v>
      </c>
      <c r="J12" s="325">
        <f t="shared" si="0"/>
        <v>0</v>
      </c>
      <c r="K12" s="325">
        <f t="shared" si="1"/>
        <v>0</v>
      </c>
    </row>
    <row r="13" spans="1:13" ht="14.5" x14ac:dyDescent="0.35">
      <c r="A13" s="169">
        <v>4</v>
      </c>
      <c r="B13" s="169">
        <v>2022</v>
      </c>
      <c r="C13" s="325">
        <v>0</v>
      </c>
      <c r="D13" s="325">
        <v>0</v>
      </c>
      <c r="E13" s="325">
        <v>0</v>
      </c>
      <c r="F13" s="325">
        <v>0</v>
      </c>
      <c r="G13" s="325">
        <v>0</v>
      </c>
      <c r="H13" s="89" t="s">
        <v>126</v>
      </c>
      <c r="I13" s="326">
        <v>0</v>
      </c>
      <c r="J13" s="325">
        <f t="shared" si="0"/>
        <v>0</v>
      </c>
      <c r="K13" s="325">
        <f t="shared" si="1"/>
        <v>0</v>
      </c>
    </row>
    <row r="14" spans="1:13" ht="14.5" x14ac:dyDescent="0.35">
      <c r="A14" s="169">
        <v>5</v>
      </c>
      <c r="B14" s="169">
        <v>2023</v>
      </c>
      <c r="C14" s="325">
        <v>0</v>
      </c>
      <c r="D14" s="325">
        <v>0</v>
      </c>
      <c r="E14" s="325">
        <v>0</v>
      </c>
      <c r="F14" s="325">
        <v>0</v>
      </c>
      <c r="G14" s="325">
        <v>0</v>
      </c>
      <c r="H14" s="89" t="s">
        <v>126</v>
      </c>
      <c r="I14" s="326">
        <v>0</v>
      </c>
      <c r="J14" s="325">
        <f t="shared" si="0"/>
        <v>0</v>
      </c>
      <c r="K14" s="325">
        <f t="shared" si="1"/>
        <v>0</v>
      </c>
    </row>
    <row r="15" spans="1:13" ht="14.5" x14ac:dyDescent="0.35">
      <c r="A15" s="169">
        <v>6</v>
      </c>
      <c r="B15" s="169">
        <v>2024</v>
      </c>
      <c r="C15" s="325">
        <v>0</v>
      </c>
      <c r="D15" s="325">
        <v>0</v>
      </c>
      <c r="E15" s="325">
        <v>0</v>
      </c>
      <c r="F15" s="325">
        <v>0</v>
      </c>
      <c r="G15" s="325">
        <v>0</v>
      </c>
      <c r="H15" s="89" t="s">
        <v>126</v>
      </c>
      <c r="I15" s="326">
        <v>0</v>
      </c>
      <c r="J15" s="325">
        <f t="shared" ref="J15:J23" si="2">(I15)*0.04</f>
        <v>0</v>
      </c>
      <c r="K15" s="325">
        <f t="shared" ref="K15:K23" si="3">SUM(C15:H15,J15)</f>
        <v>0</v>
      </c>
      <c r="L15" s="192"/>
    </row>
    <row r="16" spans="1:13" ht="14.5" x14ac:dyDescent="0.35">
      <c r="A16" s="169">
        <v>7</v>
      </c>
      <c r="B16" s="169">
        <v>2025</v>
      </c>
      <c r="C16" s="325">
        <v>0</v>
      </c>
      <c r="D16" s="325">
        <v>0</v>
      </c>
      <c r="E16" s="325">
        <v>0</v>
      </c>
      <c r="F16" s="325">
        <v>0</v>
      </c>
      <c r="G16" s="325">
        <v>0</v>
      </c>
      <c r="H16" s="89" t="s">
        <v>126</v>
      </c>
      <c r="I16" s="326">
        <v>0</v>
      </c>
      <c r="J16" s="325">
        <f t="shared" si="2"/>
        <v>0</v>
      </c>
      <c r="K16" s="325">
        <f t="shared" si="3"/>
        <v>0</v>
      </c>
      <c r="L16" s="7"/>
    </row>
    <row r="17" spans="1:12" ht="14.5" x14ac:dyDescent="0.35">
      <c r="A17" s="169">
        <v>8</v>
      </c>
      <c r="B17" s="169">
        <v>2026</v>
      </c>
      <c r="C17" s="325">
        <v>0</v>
      </c>
      <c r="D17" s="325">
        <v>0</v>
      </c>
      <c r="E17" s="325">
        <v>0</v>
      </c>
      <c r="F17" s="325">
        <v>0</v>
      </c>
      <c r="G17" s="325">
        <v>0</v>
      </c>
      <c r="H17" s="89" t="s">
        <v>126</v>
      </c>
      <c r="I17" s="326">
        <v>0</v>
      </c>
      <c r="J17" s="325">
        <f t="shared" si="2"/>
        <v>0</v>
      </c>
      <c r="K17" s="325">
        <f t="shared" si="3"/>
        <v>0</v>
      </c>
      <c r="L17" s="1"/>
    </row>
    <row r="18" spans="1:12" ht="15.5" x14ac:dyDescent="0.35">
      <c r="A18" s="169" t="s">
        <v>671</v>
      </c>
      <c r="B18" s="169">
        <v>2027</v>
      </c>
      <c r="C18" s="573">
        <v>32000</v>
      </c>
      <c r="D18" s="325">
        <v>0</v>
      </c>
      <c r="E18" s="325">
        <v>0</v>
      </c>
      <c r="F18" s="325">
        <v>0</v>
      </c>
      <c r="G18" s="325">
        <v>0</v>
      </c>
      <c r="H18" s="89" t="s">
        <v>126</v>
      </c>
      <c r="I18" s="326">
        <v>0</v>
      </c>
      <c r="J18" s="325">
        <f t="shared" si="2"/>
        <v>0</v>
      </c>
      <c r="K18" s="325">
        <f t="shared" si="3"/>
        <v>32000</v>
      </c>
      <c r="L18" s="1"/>
    </row>
    <row r="19" spans="1:12" ht="15.5" x14ac:dyDescent="0.35">
      <c r="A19" s="169" t="s">
        <v>676</v>
      </c>
      <c r="B19" s="169">
        <v>2028</v>
      </c>
      <c r="C19" s="325">
        <v>0</v>
      </c>
      <c r="D19" s="549">
        <v>0</v>
      </c>
      <c r="E19" s="549">
        <v>0</v>
      </c>
      <c r="F19" s="549">
        <v>0</v>
      </c>
      <c r="G19" s="549">
        <v>0</v>
      </c>
      <c r="H19" s="89" t="s">
        <v>126</v>
      </c>
      <c r="I19" s="326">
        <v>0</v>
      </c>
      <c r="J19" s="325">
        <f t="shared" si="2"/>
        <v>0</v>
      </c>
      <c r="K19" s="325">
        <f t="shared" si="3"/>
        <v>0</v>
      </c>
      <c r="L19" s="1"/>
    </row>
    <row r="20" spans="1:12" ht="15.5" x14ac:dyDescent="0.35">
      <c r="A20" s="557" t="s">
        <v>675</v>
      </c>
      <c r="B20" s="169">
        <v>2029</v>
      </c>
      <c r="C20" s="325">
        <v>0</v>
      </c>
      <c r="D20" s="549">
        <v>0</v>
      </c>
      <c r="E20" s="549">
        <v>0</v>
      </c>
      <c r="F20" s="549">
        <v>0</v>
      </c>
      <c r="G20" s="549">
        <v>0</v>
      </c>
      <c r="H20" s="89" t="s">
        <v>126</v>
      </c>
      <c r="I20" s="326">
        <v>0</v>
      </c>
      <c r="J20" s="325">
        <f t="shared" si="2"/>
        <v>0</v>
      </c>
      <c r="K20" s="325">
        <f t="shared" si="3"/>
        <v>0</v>
      </c>
      <c r="L20" s="1"/>
    </row>
    <row r="21" spans="1:12" ht="15.5" x14ac:dyDescent="0.35">
      <c r="A21" s="169" t="s">
        <v>672</v>
      </c>
      <c r="B21" s="169">
        <v>2030</v>
      </c>
      <c r="C21" s="325">
        <v>0</v>
      </c>
      <c r="D21" s="549">
        <v>0</v>
      </c>
      <c r="E21" s="549">
        <v>0</v>
      </c>
      <c r="F21" s="549">
        <v>0</v>
      </c>
      <c r="G21" s="549">
        <v>0</v>
      </c>
      <c r="H21" s="89" t="s">
        <v>126</v>
      </c>
      <c r="I21" s="326">
        <v>0</v>
      </c>
      <c r="J21" s="325">
        <f t="shared" si="2"/>
        <v>0</v>
      </c>
      <c r="K21" s="325">
        <f t="shared" si="3"/>
        <v>0</v>
      </c>
      <c r="L21" s="1"/>
    </row>
    <row r="22" spans="1:12" ht="15.5" x14ac:dyDescent="0.35">
      <c r="A22" s="169" t="s">
        <v>673</v>
      </c>
      <c r="B22" s="169">
        <v>2031</v>
      </c>
      <c r="C22" s="325">
        <v>0</v>
      </c>
      <c r="D22" s="549">
        <v>0</v>
      </c>
      <c r="E22" s="549">
        <v>0</v>
      </c>
      <c r="F22" s="549">
        <v>0</v>
      </c>
      <c r="G22" s="549">
        <v>0</v>
      </c>
      <c r="H22" s="89" t="s">
        <v>126</v>
      </c>
      <c r="I22" s="326">
        <v>0</v>
      </c>
      <c r="J22" s="325">
        <f t="shared" si="2"/>
        <v>0</v>
      </c>
      <c r="K22" s="325">
        <f t="shared" si="3"/>
        <v>0</v>
      </c>
      <c r="L22" s="1"/>
    </row>
    <row r="23" spans="1:12" ht="15.5" x14ac:dyDescent="0.35">
      <c r="A23" s="169" t="s">
        <v>674</v>
      </c>
      <c r="B23" s="169">
        <v>2032</v>
      </c>
      <c r="C23" s="549">
        <f>653747+59629+92162+103883+18440</f>
        <v>927861</v>
      </c>
      <c r="D23" s="549">
        <v>0</v>
      </c>
      <c r="E23" s="549">
        <v>0</v>
      </c>
      <c r="F23" s="549">
        <v>0</v>
      </c>
      <c r="G23" s="549">
        <v>0</v>
      </c>
      <c r="H23" s="89" t="s">
        <v>126</v>
      </c>
      <c r="I23" s="326">
        <v>0</v>
      </c>
      <c r="J23" s="325">
        <f t="shared" si="2"/>
        <v>0</v>
      </c>
      <c r="K23" s="325">
        <f t="shared" si="3"/>
        <v>927861</v>
      </c>
      <c r="L23" s="7"/>
    </row>
    <row r="24" spans="1:12" ht="14.5" x14ac:dyDescent="0.35">
      <c r="A24" s="169">
        <v>15</v>
      </c>
      <c r="B24" s="169">
        <v>2033</v>
      </c>
      <c r="C24" s="325">
        <v>0</v>
      </c>
      <c r="D24" s="325">
        <f t="shared" ref="D24:D79" si="4">$K$3*$K$5</f>
        <v>34110.538902</v>
      </c>
      <c r="E24" s="325">
        <f t="shared" ref="E24:E79" si="5">$K$4*$K$5</f>
        <v>7963.6833683644127</v>
      </c>
      <c r="F24" s="325">
        <f t="shared" ref="F24:F46" si="6">$K$3*$K$6</f>
        <v>28425.449085000004</v>
      </c>
      <c r="G24" s="334">
        <f t="shared" ref="G24:G46" si="7">$K$4*$K$6</f>
        <v>6636.4028069703445</v>
      </c>
      <c r="H24" s="96" t="s">
        <v>687</v>
      </c>
      <c r="I24" s="326">
        <v>1934140.3009152259</v>
      </c>
      <c r="J24" s="325">
        <f t="shared" ref="J24:J47" si="8">(I24)*$K$8</f>
        <v>87682.110111431801</v>
      </c>
      <c r="K24" s="325">
        <f t="shared" si="1"/>
        <v>164818.18427376659</v>
      </c>
      <c r="L24" s="1"/>
    </row>
    <row r="25" spans="1:12" ht="14.5" x14ac:dyDescent="0.35">
      <c r="A25" s="169">
        <v>16</v>
      </c>
      <c r="B25" s="169">
        <v>2034</v>
      </c>
      <c r="C25" s="325">
        <v>0</v>
      </c>
      <c r="D25" s="325">
        <f t="shared" si="4"/>
        <v>34110.538902</v>
      </c>
      <c r="E25" s="325">
        <f t="shared" si="5"/>
        <v>7963.6833683644127</v>
      </c>
      <c r="F25" s="325">
        <f t="shared" si="6"/>
        <v>28425.449085000004</v>
      </c>
      <c r="G25" s="334">
        <f t="shared" si="7"/>
        <v>6636.4028069703445</v>
      </c>
      <c r="H25" s="96" t="s">
        <v>687</v>
      </c>
      <c r="I25" s="326">
        <v>1922454.2021567419</v>
      </c>
      <c r="J25" s="325">
        <f t="shared" si="8"/>
        <v>87152.333756722903</v>
      </c>
      <c r="K25" s="325">
        <f t="shared" si="1"/>
        <v>164288.40791905767</v>
      </c>
      <c r="L25" s="1"/>
    </row>
    <row r="26" spans="1:12" ht="14.5" x14ac:dyDescent="0.35">
      <c r="A26" s="169">
        <v>17</v>
      </c>
      <c r="B26" s="169">
        <v>2035</v>
      </c>
      <c r="C26" s="325">
        <v>0</v>
      </c>
      <c r="D26" s="325">
        <f t="shared" si="4"/>
        <v>34110.538902</v>
      </c>
      <c r="E26" s="325">
        <f t="shared" si="5"/>
        <v>7963.6833683644127</v>
      </c>
      <c r="F26" s="325">
        <f t="shared" si="6"/>
        <v>28425.449085000004</v>
      </c>
      <c r="G26" s="334">
        <f t="shared" si="7"/>
        <v>6636.4028069703445</v>
      </c>
      <c r="H26" s="96" t="s">
        <v>687</v>
      </c>
      <c r="I26" s="326">
        <v>1910815.7680263415</v>
      </c>
      <c r="J26" s="325">
        <f t="shared" si="8"/>
        <v>86624.718225179749</v>
      </c>
      <c r="K26" s="325">
        <f t="shared" si="1"/>
        <v>163760.79238751452</v>
      </c>
      <c r="L26" s="1"/>
    </row>
    <row r="27" spans="1:12" ht="14.5" x14ac:dyDescent="0.35">
      <c r="A27" s="169">
        <v>18</v>
      </c>
      <c r="B27" s="169">
        <v>2036</v>
      </c>
      <c r="C27" s="325">
        <v>0</v>
      </c>
      <c r="D27" s="325">
        <f t="shared" si="4"/>
        <v>34110.538902</v>
      </c>
      <c r="E27" s="325">
        <f t="shared" si="5"/>
        <v>7963.6833683644127</v>
      </c>
      <c r="F27" s="325">
        <f t="shared" si="6"/>
        <v>28425.449085000004</v>
      </c>
      <c r="G27" s="334">
        <f t="shared" si="7"/>
        <v>6636.4028069703445</v>
      </c>
      <c r="H27" s="96" t="s">
        <v>687</v>
      </c>
      <c r="I27" s="326">
        <v>1899220.1791046602</v>
      </c>
      <c r="J27" s="325">
        <f t="shared" si="8"/>
        <v>86099.045033758914</v>
      </c>
      <c r="K27" s="325">
        <f t="shared" si="1"/>
        <v>163235.1191960937</v>
      </c>
      <c r="L27" s="1"/>
    </row>
    <row r="28" spans="1:12" ht="14.5" x14ac:dyDescent="0.35">
      <c r="A28" s="169">
        <v>19</v>
      </c>
      <c r="B28" s="169">
        <v>2037</v>
      </c>
      <c r="C28" s="325">
        <v>0</v>
      </c>
      <c r="D28" s="325">
        <f t="shared" si="4"/>
        <v>34110.538902</v>
      </c>
      <c r="E28" s="325">
        <f t="shared" si="5"/>
        <v>7963.6833683644127</v>
      </c>
      <c r="F28" s="325">
        <f t="shared" si="6"/>
        <v>28425.449085000004</v>
      </c>
      <c r="G28" s="334">
        <f t="shared" si="7"/>
        <v>6636.4028069703445</v>
      </c>
      <c r="H28" s="96" t="s">
        <v>687</v>
      </c>
      <c r="I28" s="326">
        <v>1887687.1249329927</v>
      </c>
      <c r="J28" s="325">
        <f t="shared" si="8"/>
        <v>85576.206786025417</v>
      </c>
      <c r="K28" s="325">
        <f t="shared" si="1"/>
        <v>162712.28094836019</v>
      </c>
      <c r="L28" s="1"/>
    </row>
    <row r="29" spans="1:12" ht="14.5" x14ac:dyDescent="0.35">
      <c r="A29" s="169">
        <v>20</v>
      </c>
      <c r="B29" s="169">
        <v>2038</v>
      </c>
      <c r="C29" s="325">
        <v>0</v>
      </c>
      <c r="D29" s="325">
        <f t="shared" si="4"/>
        <v>34110.538902</v>
      </c>
      <c r="E29" s="325">
        <f t="shared" si="5"/>
        <v>7963.6833683644127</v>
      </c>
      <c r="F29" s="325">
        <f t="shared" si="6"/>
        <v>28425.449085000004</v>
      </c>
      <c r="G29" s="334">
        <f t="shared" si="7"/>
        <v>6636.4028069703445</v>
      </c>
      <c r="H29" s="96" t="s">
        <v>687</v>
      </c>
      <c r="I29" s="326">
        <v>1876211.9612986331</v>
      </c>
      <c r="J29" s="325">
        <f t="shared" si="8"/>
        <v>85055.992941735793</v>
      </c>
      <c r="K29" s="325">
        <f t="shared" si="1"/>
        <v>162192.06710407056</v>
      </c>
      <c r="L29" s="1"/>
    </row>
    <row r="30" spans="1:12" ht="14.5" x14ac:dyDescent="0.35">
      <c r="A30" s="169">
        <v>21</v>
      </c>
      <c r="B30" s="169">
        <v>2039</v>
      </c>
      <c r="C30" s="325">
        <v>0</v>
      </c>
      <c r="D30" s="325">
        <f t="shared" si="4"/>
        <v>34110.538902</v>
      </c>
      <c r="E30" s="325">
        <f t="shared" si="5"/>
        <v>7963.6833683644127</v>
      </c>
      <c r="F30" s="325">
        <f t="shared" si="6"/>
        <v>28425.449085000004</v>
      </c>
      <c r="G30" s="334">
        <f t="shared" si="7"/>
        <v>6636.4028069703445</v>
      </c>
      <c r="H30" s="96" t="s">
        <v>687</v>
      </c>
      <c r="I30" s="326">
        <v>1865064.5744351223</v>
      </c>
      <c r="J30" s="325">
        <f t="shared" si="8"/>
        <v>84550.638494616011</v>
      </c>
      <c r="K30" s="325">
        <f t="shared" si="1"/>
        <v>161686.71265695078</v>
      </c>
      <c r="L30" s="1"/>
    </row>
    <row r="31" spans="1:12" ht="14.5" x14ac:dyDescent="0.35">
      <c r="A31" s="169">
        <v>22</v>
      </c>
      <c r="B31" s="169">
        <v>2040</v>
      </c>
      <c r="C31" s="325">
        <v>0</v>
      </c>
      <c r="D31" s="325">
        <f t="shared" si="4"/>
        <v>34110.538902</v>
      </c>
      <c r="E31" s="325">
        <f t="shared" si="5"/>
        <v>7963.6833683644127</v>
      </c>
      <c r="F31" s="325">
        <f t="shared" si="6"/>
        <v>28425.449085000004</v>
      </c>
      <c r="G31" s="334">
        <f t="shared" si="7"/>
        <v>6636.4028069703445</v>
      </c>
      <c r="H31" s="96" t="s">
        <v>687</v>
      </c>
      <c r="I31" s="326">
        <v>1854614.61355827</v>
      </c>
      <c r="J31" s="325">
        <f t="shared" si="8"/>
        <v>84076.901082789816</v>
      </c>
      <c r="K31" s="325">
        <f t="shared" si="1"/>
        <v>161212.9752451246</v>
      </c>
      <c r="L31" s="7"/>
    </row>
    <row r="32" spans="1:12" ht="14.5" x14ac:dyDescent="0.35">
      <c r="A32" s="169">
        <v>23</v>
      </c>
      <c r="B32" s="169">
        <v>2041</v>
      </c>
      <c r="C32" s="325">
        <v>0</v>
      </c>
      <c r="D32" s="325">
        <f t="shared" si="4"/>
        <v>34110.538902</v>
      </c>
      <c r="E32" s="325">
        <f t="shared" si="5"/>
        <v>7963.6833683644127</v>
      </c>
      <c r="F32" s="325">
        <f t="shared" si="6"/>
        <v>28425.449085000004</v>
      </c>
      <c r="G32" s="334">
        <f t="shared" si="7"/>
        <v>6636.4028069703445</v>
      </c>
      <c r="H32" s="96" t="s">
        <v>687</v>
      </c>
      <c r="I32" s="326">
        <v>1844794.9693234339</v>
      </c>
      <c r="J32" s="325">
        <f t="shared" si="8"/>
        <v>83631.738378384893</v>
      </c>
      <c r="K32" s="325">
        <f t="shared" si="1"/>
        <v>160767.81254071966</v>
      </c>
      <c r="L32" s="1"/>
    </row>
    <row r="33" spans="1:12" ht="14.5" x14ac:dyDescent="0.35">
      <c r="A33" s="169">
        <v>24</v>
      </c>
      <c r="B33" s="169">
        <v>2042</v>
      </c>
      <c r="C33" s="325">
        <v>0</v>
      </c>
      <c r="D33" s="325">
        <f t="shared" si="4"/>
        <v>34110.538902</v>
      </c>
      <c r="E33" s="325">
        <f t="shared" si="5"/>
        <v>7963.6833683644127</v>
      </c>
      <c r="F33" s="325">
        <f t="shared" si="6"/>
        <v>28425.449085000004</v>
      </c>
      <c r="G33" s="334">
        <f t="shared" si="7"/>
        <v>6636.4028069703445</v>
      </c>
      <c r="H33" s="96" t="s">
        <v>687</v>
      </c>
      <c r="I33" s="326">
        <v>1835549.5745931049</v>
      </c>
      <c r="J33" s="325">
        <f t="shared" si="8"/>
        <v>83212.608639769358</v>
      </c>
      <c r="K33" s="325">
        <f t="shared" si="1"/>
        <v>160348.68280210413</v>
      </c>
      <c r="L33" s="1"/>
    </row>
    <row r="34" spans="1:12" ht="14.5" x14ac:dyDescent="0.35">
      <c r="A34" s="169">
        <v>25</v>
      </c>
      <c r="B34" s="169">
        <v>2043</v>
      </c>
      <c r="C34" s="325">
        <v>0</v>
      </c>
      <c r="D34" s="325">
        <f t="shared" si="4"/>
        <v>34110.538902</v>
      </c>
      <c r="E34" s="325">
        <f t="shared" si="5"/>
        <v>7963.6833683644127</v>
      </c>
      <c r="F34" s="325">
        <f t="shared" si="6"/>
        <v>28425.449085000004</v>
      </c>
      <c r="G34" s="334">
        <f t="shared" si="7"/>
        <v>6636.4028069703445</v>
      </c>
      <c r="H34" s="96" t="s">
        <v>687</v>
      </c>
      <c r="I34" s="326">
        <v>1826789.2331784051</v>
      </c>
      <c r="J34" s="325">
        <f t="shared" si="8"/>
        <v>82815.468256430075</v>
      </c>
      <c r="K34" s="325">
        <f t="shared" si="1"/>
        <v>159951.54241876485</v>
      </c>
      <c r="L34" s="1"/>
    </row>
    <row r="35" spans="1:12" ht="14.5" x14ac:dyDescent="0.35">
      <c r="A35" s="169">
        <v>26</v>
      </c>
      <c r="B35" s="169">
        <v>2044</v>
      </c>
      <c r="C35" s="325">
        <v>0</v>
      </c>
      <c r="D35" s="325">
        <f t="shared" si="4"/>
        <v>34110.538902</v>
      </c>
      <c r="E35" s="325">
        <f t="shared" si="5"/>
        <v>7963.6833683644127</v>
      </c>
      <c r="F35" s="325">
        <f t="shared" si="6"/>
        <v>28425.449085000004</v>
      </c>
      <c r="G35" s="334">
        <f t="shared" si="7"/>
        <v>6636.4028069703445</v>
      </c>
      <c r="H35" s="96" t="s">
        <v>687</v>
      </c>
      <c r="I35" s="326">
        <v>1818472.7304603129</v>
      </c>
      <c r="J35" s="325">
        <f t="shared" si="8"/>
        <v>82438.448809224137</v>
      </c>
      <c r="K35" s="325">
        <f t="shared" si="1"/>
        <v>159574.52297155891</v>
      </c>
      <c r="L35" s="1"/>
    </row>
    <row r="36" spans="1:12" ht="14.5" x14ac:dyDescent="0.35">
      <c r="A36" s="169">
        <v>27</v>
      </c>
      <c r="B36" s="169">
        <v>2045</v>
      </c>
      <c r="C36" s="325">
        <v>0</v>
      </c>
      <c r="D36" s="325">
        <f t="shared" si="4"/>
        <v>34110.538902</v>
      </c>
      <c r="E36" s="325">
        <f t="shared" si="5"/>
        <v>7963.6833683644127</v>
      </c>
      <c r="F36" s="325">
        <f t="shared" si="6"/>
        <v>28425.449085000004</v>
      </c>
      <c r="G36" s="334">
        <f t="shared" si="7"/>
        <v>6636.4028069703445</v>
      </c>
      <c r="H36" s="96" t="s">
        <v>687</v>
      </c>
      <c r="I36" s="326">
        <v>1810568.6378340335</v>
      </c>
      <c r="J36" s="325">
        <f t="shared" si="8"/>
        <v>82080.125517133871</v>
      </c>
      <c r="K36" s="325">
        <f t="shared" si="1"/>
        <v>159216.19967946864</v>
      </c>
      <c r="L36" s="1"/>
    </row>
    <row r="37" spans="1:12" ht="14.5" x14ac:dyDescent="0.35">
      <c r="A37" s="169">
        <v>28</v>
      </c>
      <c r="B37" s="169">
        <v>2046</v>
      </c>
      <c r="C37" s="325">
        <v>0</v>
      </c>
      <c r="D37" s="325">
        <f t="shared" si="4"/>
        <v>34110.538902</v>
      </c>
      <c r="E37" s="325">
        <f t="shared" si="5"/>
        <v>7963.6833683644127</v>
      </c>
      <c r="F37" s="325">
        <f t="shared" si="6"/>
        <v>28425.449085000004</v>
      </c>
      <c r="G37" s="334">
        <f t="shared" si="7"/>
        <v>6636.4028069703445</v>
      </c>
      <c r="H37" s="96" t="s">
        <v>687</v>
      </c>
      <c r="I37" s="326">
        <v>1803054.4415410152</v>
      </c>
      <c r="J37" s="325">
        <f t="shared" si="8"/>
        <v>81739.477743830372</v>
      </c>
      <c r="K37" s="325">
        <f t="shared" si="1"/>
        <v>158875.55190616514</v>
      </c>
      <c r="L37" s="1"/>
    </row>
    <row r="38" spans="1:12" ht="14.5" x14ac:dyDescent="0.35">
      <c r="A38" s="169">
        <v>29</v>
      </c>
      <c r="B38" s="169">
        <v>2047</v>
      </c>
      <c r="C38" s="325">
        <v>0</v>
      </c>
      <c r="D38" s="325">
        <f t="shared" si="4"/>
        <v>34110.538902</v>
      </c>
      <c r="E38" s="325">
        <f t="shared" si="5"/>
        <v>7963.6833683644127</v>
      </c>
      <c r="F38" s="325">
        <f t="shared" si="6"/>
        <v>28425.449085000004</v>
      </c>
      <c r="G38" s="334">
        <f t="shared" si="7"/>
        <v>6636.4028069703445</v>
      </c>
      <c r="H38" s="96" t="s">
        <v>687</v>
      </c>
      <c r="I38" s="326">
        <v>1795898.2279681147</v>
      </c>
      <c r="J38" s="325">
        <f t="shared" si="8"/>
        <v>81415.058720979199</v>
      </c>
      <c r="K38" s="325">
        <f t="shared" si="1"/>
        <v>158551.13288331399</v>
      </c>
      <c r="L38" s="1"/>
    </row>
    <row r="39" spans="1:12" ht="14.5" x14ac:dyDescent="0.35">
      <c r="A39" s="169">
        <v>30</v>
      </c>
      <c r="B39" s="169">
        <v>2048</v>
      </c>
      <c r="C39" s="325">
        <v>0</v>
      </c>
      <c r="D39" s="325">
        <f t="shared" si="4"/>
        <v>34110.538902</v>
      </c>
      <c r="E39" s="325">
        <f t="shared" si="5"/>
        <v>7963.6833683644127</v>
      </c>
      <c r="F39" s="325">
        <f t="shared" si="6"/>
        <v>28425.449085000004</v>
      </c>
      <c r="G39" s="334">
        <f t="shared" si="7"/>
        <v>6636.4028069703445</v>
      </c>
      <c r="H39" s="96" t="s">
        <v>687</v>
      </c>
      <c r="I39" s="326">
        <v>1789083.4855247037</v>
      </c>
      <c r="J39" s="325">
        <f t="shared" si="8"/>
        <v>81106.119913891904</v>
      </c>
      <c r="K39" s="325">
        <f t="shared" si="1"/>
        <v>158242.19407622667</v>
      </c>
      <c r="L39" s="1"/>
    </row>
    <row r="40" spans="1:12" ht="14.5" x14ac:dyDescent="0.35">
      <c r="A40" s="169">
        <v>31</v>
      </c>
      <c r="B40" s="169">
        <v>2049</v>
      </c>
      <c r="C40" s="325">
        <v>0</v>
      </c>
      <c r="D40" s="325">
        <f t="shared" si="4"/>
        <v>34110.538902</v>
      </c>
      <c r="E40" s="325">
        <f t="shared" si="5"/>
        <v>7963.6833683644127</v>
      </c>
      <c r="F40" s="325">
        <f t="shared" si="6"/>
        <v>28425.449085000004</v>
      </c>
      <c r="G40" s="334">
        <f t="shared" si="7"/>
        <v>6636.4028069703445</v>
      </c>
      <c r="H40" s="96" t="s">
        <v>687</v>
      </c>
      <c r="I40" s="326">
        <v>1782570.4327293921</v>
      </c>
      <c r="J40" s="325">
        <f t="shared" si="8"/>
        <v>80810.857873134126</v>
      </c>
      <c r="K40" s="325">
        <f t="shared" si="1"/>
        <v>157946.9320354689</v>
      </c>
      <c r="L40" s="1"/>
    </row>
    <row r="41" spans="1:12" ht="14.5" x14ac:dyDescent="0.35">
      <c r="A41" s="169">
        <v>32</v>
      </c>
      <c r="B41" s="169">
        <v>2050</v>
      </c>
      <c r="C41" s="325">
        <v>0</v>
      </c>
      <c r="D41" s="325">
        <f t="shared" si="4"/>
        <v>34110.538902</v>
      </c>
      <c r="E41" s="325">
        <f t="shared" si="5"/>
        <v>7963.6833683644127</v>
      </c>
      <c r="F41" s="325">
        <f t="shared" si="6"/>
        <v>28425.449085000004</v>
      </c>
      <c r="G41" s="334">
        <f t="shared" si="7"/>
        <v>6636.4028069703445</v>
      </c>
      <c r="H41" s="96" t="s">
        <v>687</v>
      </c>
      <c r="I41" s="326">
        <v>1776335.9713720209</v>
      </c>
      <c r="J41" s="325">
        <f t="shared" si="8"/>
        <v>80528.225466910124</v>
      </c>
      <c r="K41" s="325">
        <f t="shared" si="1"/>
        <v>157664.2996292449</v>
      </c>
      <c r="L41" s="1"/>
    </row>
    <row r="42" spans="1:12" ht="14.5" x14ac:dyDescent="0.35">
      <c r="A42" s="169">
        <v>33</v>
      </c>
      <c r="B42" s="169">
        <v>2051</v>
      </c>
      <c r="C42" s="325">
        <v>0</v>
      </c>
      <c r="D42" s="325">
        <f t="shared" si="4"/>
        <v>34110.538902</v>
      </c>
      <c r="E42" s="325">
        <f t="shared" si="5"/>
        <v>7963.6833683644127</v>
      </c>
      <c r="F42" s="325">
        <f t="shared" si="6"/>
        <v>28425.449085000004</v>
      </c>
      <c r="G42" s="334">
        <f t="shared" si="7"/>
        <v>6636.4028069703445</v>
      </c>
      <c r="H42" s="96" t="s">
        <v>687</v>
      </c>
      <c r="I42" s="326">
        <v>1770364.7964960709</v>
      </c>
      <c r="J42" s="325">
        <f t="shared" si="8"/>
        <v>80257.52886195344</v>
      </c>
      <c r="K42" s="325">
        <f t="shared" si="1"/>
        <v>157393.6030242882</v>
      </c>
      <c r="L42" s="1"/>
    </row>
    <row r="43" spans="1:12" ht="14.5" x14ac:dyDescent="0.35">
      <c r="A43" s="169">
        <v>34</v>
      </c>
      <c r="B43" s="169">
        <v>2052</v>
      </c>
      <c r="C43" s="325">
        <v>0</v>
      </c>
      <c r="D43" s="325">
        <f t="shared" si="4"/>
        <v>34110.538902</v>
      </c>
      <c r="E43" s="325">
        <f t="shared" si="5"/>
        <v>7963.6833683644127</v>
      </c>
      <c r="F43" s="325">
        <f t="shared" si="6"/>
        <v>28425.449085000004</v>
      </c>
      <c r="G43" s="334">
        <f t="shared" si="7"/>
        <v>6636.4028069703445</v>
      </c>
      <c r="H43" s="96" t="s">
        <v>687</v>
      </c>
      <c r="I43" s="326">
        <v>1764628.0178627176</v>
      </c>
      <c r="J43" s="325">
        <f t="shared" si="8"/>
        <v>79997.458351258552</v>
      </c>
      <c r="K43" s="325">
        <f t="shared" si="1"/>
        <v>157133.53251359332</v>
      </c>
      <c r="L43" s="1"/>
    </row>
    <row r="44" spans="1:12" ht="14.5" x14ac:dyDescent="0.35">
      <c r="A44" s="169">
        <v>35</v>
      </c>
      <c r="B44" s="169">
        <v>2053</v>
      </c>
      <c r="C44" s="325">
        <v>0</v>
      </c>
      <c r="D44" s="325">
        <f t="shared" si="4"/>
        <v>34110.538902</v>
      </c>
      <c r="E44" s="325">
        <f t="shared" si="5"/>
        <v>7963.6833683644127</v>
      </c>
      <c r="F44" s="325">
        <f t="shared" si="6"/>
        <v>28425.449085000004</v>
      </c>
      <c r="G44" s="334">
        <f t="shared" si="7"/>
        <v>6636.4028069703445</v>
      </c>
      <c r="H44" s="96" t="s">
        <v>687</v>
      </c>
      <c r="I44" s="326">
        <v>1759118.7076890906</v>
      </c>
      <c r="J44" s="325">
        <f t="shared" si="8"/>
        <v>79747.699871455712</v>
      </c>
      <c r="K44" s="325">
        <f t="shared" si="1"/>
        <v>156883.77403379048</v>
      </c>
      <c r="L44" s="1"/>
    </row>
    <row r="45" spans="1:12" ht="14.5" x14ac:dyDescent="0.35">
      <c r="A45" s="169">
        <v>36</v>
      </c>
      <c r="B45" s="169">
        <v>2054</v>
      </c>
      <c r="C45" s="325">
        <v>0</v>
      </c>
      <c r="D45" s="325">
        <f t="shared" si="4"/>
        <v>34110.538902</v>
      </c>
      <c r="E45" s="325">
        <f t="shared" si="5"/>
        <v>7963.6833683644127</v>
      </c>
      <c r="F45" s="325">
        <f t="shared" si="6"/>
        <v>28425.449085000004</v>
      </c>
      <c r="G45" s="334">
        <f t="shared" si="7"/>
        <v>6636.4028069703445</v>
      </c>
      <c r="H45" s="96" t="s">
        <v>687</v>
      </c>
      <c r="I45" s="326">
        <v>1753817.0870967463</v>
      </c>
      <c r="J45" s="325">
        <f t="shared" si="8"/>
        <v>79507.356768979123</v>
      </c>
      <c r="K45" s="325">
        <f t="shared" si="1"/>
        <v>156643.43093131389</v>
      </c>
      <c r="L45" s="1"/>
    </row>
    <row r="46" spans="1:12" ht="14.5" x14ac:dyDescent="0.35">
      <c r="A46" s="169">
        <v>37</v>
      </c>
      <c r="B46" s="169">
        <v>2055</v>
      </c>
      <c r="C46" s="325">
        <v>0</v>
      </c>
      <c r="D46" s="325">
        <f t="shared" si="4"/>
        <v>34110.538902</v>
      </c>
      <c r="E46" s="325">
        <f t="shared" si="5"/>
        <v>7963.6833683644127</v>
      </c>
      <c r="F46" s="325">
        <f t="shared" si="6"/>
        <v>28425.449085000004</v>
      </c>
      <c r="G46" s="334">
        <f t="shared" si="7"/>
        <v>6636.4028069703445</v>
      </c>
      <c r="H46" s="96" t="s">
        <v>687</v>
      </c>
      <c r="I46" s="326">
        <v>1748702.1736938229</v>
      </c>
      <c r="J46" s="325">
        <f t="shared" si="8"/>
        <v>79275.477830314048</v>
      </c>
      <c r="K46" s="325">
        <f t="shared" si="1"/>
        <v>156411.55199264881</v>
      </c>
      <c r="L46" s="1"/>
    </row>
    <row r="47" spans="1:12" ht="14.5" x14ac:dyDescent="0.35">
      <c r="A47" s="169">
        <v>38</v>
      </c>
      <c r="B47" s="169">
        <v>2056</v>
      </c>
      <c r="C47" s="325">
        <v>0</v>
      </c>
      <c r="D47" s="325">
        <f t="shared" si="4"/>
        <v>34110.538902</v>
      </c>
      <c r="E47" s="325">
        <f t="shared" si="5"/>
        <v>7963.6833683644127</v>
      </c>
      <c r="F47" s="325">
        <f t="shared" ref="F47:F78" si="9">$K$3*$K$6</f>
        <v>28425.449085000004</v>
      </c>
      <c r="G47" s="334">
        <f t="shared" ref="G47:G78" si="10">$K$4*$K$6</f>
        <v>6636.4028069703445</v>
      </c>
      <c r="H47" s="96" t="s">
        <v>687</v>
      </c>
      <c r="I47" s="326">
        <v>1743768.871976977</v>
      </c>
      <c r="J47" s="325">
        <f t="shared" si="8"/>
        <v>79051.832056455387</v>
      </c>
      <c r="K47" s="325">
        <f t="shared" si="1"/>
        <v>156187.90621879016</v>
      </c>
      <c r="L47" s="1"/>
    </row>
    <row r="48" spans="1:12" ht="14.5" x14ac:dyDescent="0.35">
      <c r="A48" s="169">
        <v>39</v>
      </c>
      <c r="B48" s="169">
        <v>2057</v>
      </c>
      <c r="C48" s="325">
        <v>0</v>
      </c>
      <c r="D48" s="325">
        <f t="shared" si="4"/>
        <v>34110.538902</v>
      </c>
      <c r="E48" s="325">
        <f t="shared" si="5"/>
        <v>7963.6833683644127</v>
      </c>
      <c r="F48" s="325">
        <f t="shared" si="9"/>
        <v>28425.449085000004</v>
      </c>
      <c r="G48" s="334">
        <f t="shared" si="10"/>
        <v>6636.4028069703445</v>
      </c>
      <c r="H48" s="96" t="s">
        <v>687</v>
      </c>
      <c r="I48" s="326">
        <v>1739002.1932670965</v>
      </c>
      <c r="J48" s="325">
        <f t="shared" ref="J48:J79" si="11">(I48)*$K$8</f>
        <v>78835.739952222939</v>
      </c>
      <c r="K48" s="325">
        <f t="shared" si="1"/>
        <v>155971.8141145577</v>
      </c>
      <c r="L48" s="1"/>
    </row>
    <row r="49" spans="1:12" ht="14.5" x14ac:dyDescent="0.35">
      <c r="A49" s="169">
        <v>40</v>
      </c>
      <c r="B49" s="169">
        <v>2058</v>
      </c>
      <c r="C49" s="325">
        <v>0</v>
      </c>
      <c r="D49" s="325">
        <f t="shared" si="4"/>
        <v>34110.538902</v>
      </c>
      <c r="E49" s="325">
        <f t="shared" si="5"/>
        <v>7963.6833683644127</v>
      </c>
      <c r="F49" s="325">
        <f t="shared" si="9"/>
        <v>28425.449085000004</v>
      </c>
      <c r="G49" s="334">
        <f t="shared" si="10"/>
        <v>6636.4028069703445</v>
      </c>
      <c r="H49" s="96" t="s">
        <v>687</v>
      </c>
      <c r="I49" s="326">
        <v>1734394.2851066659</v>
      </c>
      <c r="J49" s="325">
        <f t="shared" si="11"/>
        <v>78626.845535145199</v>
      </c>
      <c r="K49" s="325">
        <f t="shared" si="1"/>
        <v>155762.91969747999</v>
      </c>
      <c r="L49" s="1"/>
    </row>
    <row r="50" spans="1:12" ht="14.5" x14ac:dyDescent="0.35">
      <c r="A50" s="169">
        <v>41</v>
      </c>
      <c r="B50" s="169">
        <v>2059</v>
      </c>
      <c r="C50" s="325">
        <v>0</v>
      </c>
      <c r="D50" s="325">
        <f t="shared" si="4"/>
        <v>34110.538902</v>
      </c>
      <c r="E50" s="325">
        <f t="shared" si="5"/>
        <v>7963.6833683644127</v>
      </c>
      <c r="F50" s="325">
        <f t="shared" si="9"/>
        <v>28425.449085000004</v>
      </c>
      <c r="G50" s="334">
        <f t="shared" si="10"/>
        <v>6636.4028069703445</v>
      </c>
      <c r="H50" s="96" t="s">
        <v>687</v>
      </c>
      <c r="I50" s="326">
        <v>1729937.5454448289</v>
      </c>
      <c r="J50" s="325">
        <f t="shared" si="11"/>
        <v>78424.804174659483</v>
      </c>
      <c r="K50" s="325">
        <f t="shared" si="1"/>
        <v>155560.87833699427</v>
      </c>
      <c r="L50" s="1"/>
    </row>
    <row r="51" spans="1:12" ht="14.5" x14ac:dyDescent="0.35">
      <c r="A51" s="169">
        <v>42</v>
      </c>
      <c r="B51" s="169">
        <v>2060</v>
      </c>
      <c r="C51" s="325">
        <v>0</v>
      </c>
      <c r="D51" s="325">
        <f t="shared" si="4"/>
        <v>34110.538902</v>
      </c>
      <c r="E51" s="325">
        <f t="shared" si="5"/>
        <v>7963.6833683644127</v>
      </c>
      <c r="F51" s="325">
        <f t="shared" si="9"/>
        <v>28425.449085000004</v>
      </c>
      <c r="G51" s="334">
        <f t="shared" si="10"/>
        <v>6636.4028069703445</v>
      </c>
      <c r="H51" s="96" t="s">
        <v>687</v>
      </c>
      <c r="I51" s="326">
        <v>1725628.0548421857</v>
      </c>
      <c r="J51" s="325">
        <f t="shared" si="11"/>
        <v>78229.438187318054</v>
      </c>
      <c r="K51" s="325">
        <f t="shared" si="1"/>
        <v>155365.51234965282</v>
      </c>
      <c r="L51" s="1"/>
    </row>
    <row r="52" spans="1:12" ht="14.5" x14ac:dyDescent="0.35">
      <c r="A52" s="169">
        <v>43</v>
      </c>
      <c r="B52" s="169">
        <v>2061</v>
      </c>
      <c r="C52" s="325">
        <v>0</v>
      </c>
      <c r="D52" s="325">
        <f t="shared" si="4"/>
        <v>34110.538902</v>
      </c>
      <c r="E52" s="325">
        <f t="shared" si="5"/>
        <v>7963.6833683644127</v>
      </c>
      <c r="F52" s="325">
        <f t="shared" si="9"/>
        <v>28425.449085000004</v>
      </c>
      <c r="G52" s="334">
        <f t="shared" si="10"/>
        <v>6636.4028069703445</v>
      </c>
      <c r="H52" s="96" t="s">
        <v>687</v>
      </c>
      <c r="I52" s="326">
        <v>1721452.6865905533</v>
      </c>
      <c r="J52" s="325">
        <f t="shared" si="11"/>
        <v>78040.152488332227</v>
      </c>
      <c r="K52" s="325">
        <f t="shared" si="1"/>
        <v>155176.226650667</v>
      </c>
      <c r="L52" s="1"/>
    </row>
    <row r="53" spans="1:12" ht="14.5" x14ac:dyDescent="0.35">
      <c r="A53" s="169">
        <v>44</v>
      </c>
      <c r="B53" s="169">
        <v>2062</v>
      </c>
      <c r="C53" s="325">
        <v>0</v>
      </c>
      <c r="D53" s="325">
        <f t="shared" si="4"/>
        <v>34110.538902</v>
      </c>
      <c r="E53" s="325">
        <f t="shared" si="5"/>
        <v>7963.6833683644127</v>
      </c>
      <c r="F53" s="325">
        <f t="shared" si="9"/>
        <v>28425.449085000004</v>
      </c>
      <c r="G53" s="334">
        <f t="shared" si="10"/>
        <v>6636.4028069703445</v>
      </c>
      <c r="H53" s="96" t="s">
        <v>687</v>
      </c>
      <c r="I53" s="326">
        <v>1717409.083816174</v>
      </c>
      <c r="J53" s="325">
        <f t="shared" si="11"/>
        <v>77856.840231438429</v>
      </c>
      <c r="K53" s="325">
        <f t="shared" si="1"/>
        <v>154992.91439377319</v>
      </c>
      <c r="L53" s="1"/>
    </row>
    <row r="54" spans="1:12" ht="14.5" x14ac:dyDescent="0.35">
      <c r="A54" s="169">
        <v>45</v>
      </c>
      <c r="B54" s="169">
        <v>2063</v>
      </c>
      <c r="C54" s="325">
        <v>0</v>
      </c>
      <c r="D54" s="325">
        <f t="shared" si="4"/>
        <v>34110.538902</v>
      </c>
      <c r="E54" s="325">
        <f t="shared" si="5"/>
        <v>7963.6833683644127</v>
      </c>
      <c r="F54" s="325">
        <f t="shared" si="9"/>
        <v>28425.449085000004</v>
      </c>
      <c r="G54" s="334">
        <f t="shared" si="10"/>
        <v>6636.4028069703445</v>
      </c>
      <c r="H54" s="96" t="s">
        <v>687</v>
      </c>
      <c r="I54" s="326">
        <v>1713489.5109858559</v>
      </c>
      <c r="J54" s="325">
        <f t="shared" si="11"/>
        <v>77679.150734800001</v>
      </c>
      <c r="K54" s="325">
        <f t="shared" si="1"/>
        <v>154815.22489713476</v>
      </c>
      <c r="L54" s="1"/>
    </row>
    <row r="55" spans="1:12" ht="14.5" x14ac:dyDescent="0.35">
      <c r="A55" s="169">
        <v>46</v>
      </c>
      <c r="B55" s="169">
        <v>2064</v>
      </c>
      <c r="C55" s="325">
        <v>0</v>
      </c>
      <c r="D55" s="325">
        <f t="shared" si="4"/>
        <v>34110.538902</v>
      </c>
      <c r="E55" s="325">
        <f t="shared" si="5"/>
        <v>7963.6833683644127</v>
      </c>
      <c r="F55" s="325">
        <f t="shared" si="9"/>
        <v>28425.449085000004</v>
      </c>
      <c r="G55" s="334">
        <f t="shared" si="10"/>
        <v>6636.4028069703445</v>
      </c>
      <c r="H55" s="96" t="s">
        <v>687</v>
      </c>
      <c r="I55" s="326">
        <v>1709685.0638919543</v>
      </c>
      <c r="J55" s="325">
        <f t="shared" si="11"/>
        <v>77506.680336017263</v>
      </c>
      <c r="K55" s="325">
        <f t="shared" si="1"/>
        <v>154642.75449835203</v>
      </c>
      <c r="L55" s="1"/>
    </row>
    <row r="56" spans="1:12" ht="14.5" x14ac:dyDescent="0.35">
      <c r="A56" s="169">
        <v>47</v>
      </c>
      <c r="B56" s="169">
        <v>2065</v>
      </c>
      <c r="C56" s="325">
        <v>0</v>
      </c>
      <c r="D56" s="325">
        <f t="shared" si="4"/>
        <v>34110.538902</v>
      </c>
      <c r="E56" s="325">
        <f t="shared" si="5"/>
        <v>7963.6833683644127</v>
      </c>
      <c r="F56" s="325">
        <f t="shared" si="9"/>
        <v>28425.449085000004</v>
      </c>
      <c r="G56" s="334">
        <f t="shared" si="10"/>
        <v>6636.4028069703445</v>
      </c>
      <c r="H56" s="96" t="s">
        <v>687</v>
      </c>
      <c r="I56" s="326">
        <v>1705998.9972415464</v>
      </c>
      <c r="J56" s="325">
        <f t="shared" si="11"/>
        <v>77339.576583633738</v>
      </c>
      <c r="K56" s="325">
        <f t="shared" si="1"/>
        <v>154475.65074596851</v>
      </c>
      <c r="L56" s="1"/>
    </row>
    <row r="57" spans="1:12" ht="14.5" x14ac:dyDescent="0.35">
      <c r="A57" s="169">
        <v>48</v>
      </c>
      <c r="B57" s="169">
        <v>2066</v>
      </c>
      <c r="C57" s="325">
        <v>0</v>
      </c>
      <c r="D57" s="325">
        <f t="shared" si="4"/>
        <v>34110.538902</v>
      </c>
      <c r="E57" s="325">
        <f t="shared" si="5"/>
        <v>7963.6833683644127</v>
      </c>
      <c r="F57" s="325">
        <f t="shared" si="9"/>
        <v>28425.449085000004</v>
      </c>
      <c r="G57" s="334">
        <f t="shared" si="10"/>
        <v>6636.4028069703445</v>
      </c>
      <c r="H57" s="96" t="s">
        <v>687</v>
      </c>
      <c r="I57" s="326">
        <v>1702409.2512206016</v>
      </c>
      <c r="J57" s="325">
        <f t="shared" si="11"/>
        <v>77176.839420392993</v>
      </c>
      <c r="K57" s="325">
        <f t="shared" si="1"/>
        <v>154312.91358272778</v>
      </c>
      <c r="L57" s="1"/>
    </row>
    <row r="58" spans="1:12" ht="14.5" x14ac:dyDescent="0.35">
      <c r="A58" s="169">
        <v>49</v>
      </c>
      <c r="B58" s="169">
        <v>2067</v>
      </c>
      <c r="C58" s="325">
        <v>0</v>
      </c>
      <c r="D58" s="325">
        <f t="shared" si="4"/>
        <v>34110.538902</v>
      </c>
      <c r="E58" s="325">
        <f t="shared" si="5"/>
        <v>7963.6833683644127</v>
      </c>
      <c r="F58" s="325">
        <f t="shared" si="9"/>
        <v>28425.449085000004</v>
      </c>
      <c r="G58" s="334">
        <f t="shared" si="10"/>
        <v>6636.4028069703445</v>
      </c>
      <c r="H58" s="96" t="s">
        <v>687</v>
      </c>
      <c r="I58" s="326">
        <v>1698922.9840889915</v>
      </c>
      <c r="J58" s="325">
        <f t="shared" si="11"/>
        <v>77018.793358084557</v>
      </c>
      <c r="K58" s="325">
        <f t="shared" si="1"/>
        <v>154154.86752041933</v>
      </c>
      <c r="L58" s="1"/>
    </row>
    <row r="59" spans="1:12" ht="14.5" x14ac:dyDescent="0.35">
      <c r="A59" s="169">
        <v>50</v>
      </c>
      <c r="B59" s="169">
        <v>2068</v>
      </c>
      <c r="C59" s="325">
        <v>0</v>
      </c>
      <c r="D59" s="325">
        <f t="shared" si="4"/>
        <v>34110.538902</v>
      </c>
      <c r="E59" s="325">
        <f t="shared" si="5"/>
        <v>7963.6833683644127</v>
      </c>
      <c r="F59" s="325">
        <f t="shared" si="9"/>
        <v>28425.449085000004</v>
      </c>
      <c r="G59" s="334">
        <f t="shared" si="10"/>
        <v>6636.4028069703445</v>
      </c>
      <c r="H59" s="96" t="s">
        <v>687</v>
      </c>
      <c r="I59" s="326">
        <v>1694059.4819204262</v>
      </c>
      <c r="J59" s="325">
        <f t="shared" si="11"/>
        <v>76798.311869503013</v>
      </c>
      <c r="K59" s="325">
        <f t="shared" si="1"/>
        <v>153934.38603183778</v>
      </c>
      <c r="L59" s="7"/>
    </row>
    <row r="60" spans="1:12" ht="14.5" x14ac:dyDescent="0.35">
      <c r="A60" s="169">
        <v>51</v>
      </c>
      <c r="B60" s="169">
        <v>2069</v>
      </c>
      <c r="C60" s="325">
        <v>0</v>
      </c>
      <c r="D60" s="325">
        <f t="shared" si="4"/>
        <v>34110.538902</v>
      </c>
      <c r="E60" s="325">
        <f t="shared" si="5"/>
        <v>7963.6833683644127</v>
      </c>
      <c r="F60" s="325">
        <f t="shared" si="9"/>
        <v>28425.449085000004</v>
      </c>
      <c r="G60" s="334">
        <f t="shared" si="10"/>
        <v>6636.4028069703445</v>
      </c>
      <c r="H60" s="96" t="s">
        <v>687</v>
      </c>
      <c r="I60" s="326">
        <v>1684880.6110042743</v>
      </c>
      <c r="J60" s="325">
        <f t="shared" si="11"/>
        <v>76382.197914384145</v>
      </c>
      <c r="K60" s="325">
        <f t="shared" si="1"/>
        <v>153518.27207671892</v>
      </c>
      <c r="L60" s="1"/>
    </row>
    <row r="61" spans="1:12" ht="14.5" x14ac:dyDescent="0.35">
      <c r="A61" s="169">
        <v>52</v>
      </c>
      <c r="B61" s="169">
        <v>2070</v>
      </c>
      <c r="C61" s="325">
        <v>0</v>
      </c>
      <c r="D61" s="325">
        <f t="shared" si="4"/>
        <v>34110.538902</v>
      </c>
      <c r="E61" s="325">
        <f t="shared" si="5"/>
        <v>7963.6833683644127</v>
      </c>
      <c r="F61" s="325">
        <f t="shared" si="9"/>
        <v>28425.449085000004</v>
      </c>
      <c r="G61" s="334">
        <f t="shared" si="10"/>
        <v>6636.4028069703445</v>
      </c>
      <c r="H61" s="96" t="s">
        <v>687</v>
      </c>
      <c r="I61" s="326">
        <v>1681762.970770238</v>
      </c>
      <c r="J61" s="325">
        <f t="shared" si="11"/>
        <v>76240.863144533549</v>
      </c>
      <c r="K61" s="325">
        <f t="shared" si="1"/>
        <v>153376.93730686832</v>
      </c>
      <c r="L61" s="1"/>
    </row>
    <row r="62" spans="1:12" ht="14.5" x14ac:dyDescent="0.35">
      <c r="A62" s="169">
        <v>53</v>
      </c>
      <c r="B62" s="169">
        <v>2071</v>
      </c>
      <c r="C62" s="325">
        <v>0</v>
      </c>
      <c r="D62" s="325">
        <f t="shared" si="4"/>
        <v>34110.538902</v>
      </c>
      <c r="E62" s="325">
        <f t="shared" si="5"/>
        <v>7963.6833683644127</v>
      </c>
      <c r="F62" s="325">
        <f t="shared" si="9"/>
        <v>28425.449085000004</v>
      </c>
      <c r="G62" s="334">
        <f t="shared" si="10"/>
        <v>6636.4028069703445</v>
      </c>
      <c r="H62" s="96" t="s">
        <v>687</v>
      </c>
      <c r="I62" s="326">
        <v>1678725.5037759291</v>
      </c>
      <c r="J62" s="325">
        <f t="shared" si="11"/>
        <v>76103.162939781701</v>
      </c>
      <c r="K62" s="325">
        <f t="shared" si="1"/>
        <v>153239.23710211646</v>
      </c>
      <c r="L62" s="1"/>
    </row>
    <row r="63" spans="1:12" ht="14.5" x14ac:dyDescent="0.35">
      <c r="A63" s="169">
        <v>54</v>
      </c>
      <c r="B63" s="169">
        <v>2072</v>
      </c>
      <c r="C63" s="325">
        <v>0</v>
      </c>
      <c r="D63" s="325">
        <f t="shared" si="4"/>
        <v>34110.538902</v>
      </c>
      <c r="E63" s="325">
        <f t="shared" si="5"/>
        <v>7963.6833683644127</v>
      </c>
      <c r="F63" s="325">
        <f t="shared" si="9"/>
        <v>28425.449085000004</v>
      </c>
      <c r="G63" s="334">
        <f t="shared" si="10"/>
        <v>6636.4028069703445</v>
      </c>
      <c r="H63" s="96" t="s">
        <v>687</v>
      </c>
      <c r="I63" s="326">
        <v>1675770.9201313891</v>
      </c>
      <c r="J63" s="325">
        <f t="shared" si="11"/>
        <v>75969.220159968158</v>
      </c>
      <c r="K63" s="325">
        <f t="shared" si="1"/>
        <v>153105.29432230291</v>
      </c>
      <c r="L63" s="1"/>
    </row>
    <row r="64" spans="1:12" ht="14.5" x14ac:dyDescent="0.35">
      <c r="A64" s="169">
        <v>55</v>
      </c>
      <c r="B64" s="169">
        <v>2073</v>
      </c>
      <c r="C64" s="325">
        <v>0</v>
      </c>
      <c r="D64" s="325">
        <f t="shared" si="4"/>
        <v>34110.538902</v>
      </c>
      <c r="E64" s="325">
        <f t="shared" si="5"/>
        <v>7963.6833683644127</v>
      </c>
      <c r="F64" s="325">
        <f t="shared" si="9"/>
        <v>28425.449085000004</v>
      </c>
      <c r="G64" s="334">
        <f t="shared" si="10"/>
        <v>6636.4028069703445</v>
      </c>
      <c r="H64" s="96" t="s">
        <v>687</v>
      </c>
      <c r="I64" s="326">
        <v>1672889.2853852515</v>
      </c>
      <c r="J64" s="325">
        <f t="shared" si="11"/>
        <v>75838.584437734258</v>
      </c>
      <c r="K64" s="325">
        <f t="shared" si="1"/>
        <v>152974.65860006903</v>
      </c>
      <c r="L64" s="1"/>
    </row>
    <row r="65" spans="1:12" ht="14.5" x14ac:dyDescent="0.35">
      <c r="A65" s="169">
        <v>56</v>
      </c>
      <c r="B65" s="169">
        <v>2074</v>
      </c>
      <c r="C65" s="325">
        <v>0</v>
      </c>
      <c r="D65" s="325">
        <f t="shared" si="4"/>
        <v>34110.538902</v>
      </c>
      <c r="E65" s="325">
        <f t="shared" si="5"/>
        <v>7963.6833683644127</v>
      </c>
      <c r="F65" s="325">
        <f t="shared" si="9"/>
        <v>28425.449085000004</v>
      </c>
      <c r="G65" s="334">
        <f t="shared" si="10"/>
        <v>6636.4028069703445</v>
      </c>
      <c r="H65" s="96" t="s">
        <v>687</v>
      </c>
      <c r="I65" s="326">
        <v>1670080.3455456933</v>
      </c>
      <c r="J65" s="325">
        <f t="shared" si="11"/>
        <v>75711.244258641775</v>
      </c>
      <c r="K65" s="325">
        <f t="shared" si="1"/>
        <v>152847.31842097655</v>
      </c>
      <c r="L65" s="1"/>
    </row>
    <row r="66" spans="1:12" ht="14.5" x14ac:dyDescent="0.35">
      <c r="A66" s="169">
        <v>57</v>
      </c>
      <c r="B66" s="169">
        <v>2075</v>
      </c>
      <c r="C66" s="325">
        <v>0</v>
      </c>
      <c r="D66" s="325">
        <f t="shared" si="4"/>
        <v>34110.538902</v>
      </c>
      <c r="E66" s="325">
        <f t="shared" si="5"/>
        <v>7963.6833683644127</v>
      </c>
      <c r="F66" s="325">
        <f t="shared" si="9"/>
        <v>28425.449085000004</v>
      </c>
      <c r="G66" s="334">
        <f t="shared" si="10"/>
        <v>6636.4028069703445</v>
      </c>
      <c r="H66" s="96" t="s">
        <v>687</v>
      </c>
      <c r="I66" s="326">
        <v>1667344.7609734335</v>
      </c>
      <c r="J66" s="325">
        <f t="shared" si="11"/>
        <v>75587.229559413114</v>
      </c>
      <c r="K66" s="325">
        <f t="shared" si="1"/>
        <v>152723.30372174788</v>
      </c>
      <c r="L66" s="1"/>
    </row>
    <row r="67" spans="1:12" ht="14.5" x14ac:dyDescent="0.35">
      <c r="A67" s="169">
        <v>58</v>
      </c>
      <c r="B67" s="169">
        <v>2076</v>
      </c>
      <c r="C67" s="325">
        <v>0</v>
      </c>
      <c r="D67" s="325">
        <f t="shared" si="4"/>
        <v>34110.538902</v>
      </c>
      <c r="E67" s="325">
        <f t="shared" si="5"/>
        <v>7963.6833683644127</v>
      </c>
      <c r="F67" s="325">
        <f t="shared" si="9"/>
        <v>28425.449085000004</v>
      </c>
      <c r="G67" s="334">
        <f t="shared" si="10"/>
        <v>6636.4028069703445</v>
      </c>
      <c r="H67" s="96" t="s">
        <v>687</v>
      </c>
      <c r="I67" s="326">
        <v>1664673.1736976276</v>
      </c>
      <c r="J67" s="325">
        <f t="shared" si="11"/>
        <v>75466.116106796122</v>
      </c>
      <c r="K67" s="325">
        <f t="shared" si="1"/>
        <v>152602.19026913089</v>
      </c>
      <c r="L67" s="1"/>
    </row>
    <row r="68" spans="1:12" ht="14.5" x14ac:dyDescent="0.35">
      <c r="A68" s="169">
        <v>59</v>
      </c>
      <c r="B68" s="169">
        <v>2077</v>
      </c>
      <c r="C68" s="325">
        <v>0</v>
      </c>
      <c r="D68" s="325">
        <f t="shared" si="4"/>
        <v>34110.538902</v>
      </c>
      <c r="E68" s="325">
        <f t="shared" si="5"/>
        <v>7963.6833683644127</v>
      </c>
      <c r="F68" s="325">
        <f t="shared" si="9"/>
        <v>28425.449085000004</v>
      </c>
      <c r="G68" s="334">
        <f t="shared" si="10"/>
        <v>6636.4028069703445</v>
      </c>
      <c r="H68" s="96" t="s">
        <v>687</v>
      </c>
      <c r="I68" s="326">
        <v>1662072.4559917077</v>
      </c>
      <c r="J68" s="325">
        <f t="shared" si="11"/>
        <v>75348.215447701587</v>
      </c>
      <c r="K68" s="325">
        <f t="shared" si="1"/>
        <v>152484.28961003636</v>
      </c>
      <c r="L68" s="1"/>
    </row>
    <row r="69" spans="1:12" ht="14.5" x14ac:dyDescent="0.35">
      <c r="A69" s="169">
        <v>60</v>
      </c>
      <c r="B69" s="169">
        <v>2078</v>
      </c>
      <c r="C69" s="325">
        <v>0</v>
      </c>
      <c r="D69" s="325">
        <f t="shared" si="4"/>
        <v>34110.538902</v>
      </c>
      <c r="E69" s="325">
        <f t="shared" si="5"/>
        <v>7963.6833683644127</v>
      </c>
      <c r="F69" s="325">
        <f t="shared" si="9"/>
        <v>28425.449085000004</v>
      </c>
      <c r="G69" s="334">
        <f t="shared" si="10"/>
        <v>6636.4028069703445</v>
      </c>
      <c r="H69" s="96" t="s">
        <v>687</v>
      </c>
      <c r="I69" s="326">
        <v>1659539.9923066413</v>
      </c>
      <c r="J69" s="325">
        <f t="shared" si="11"/>
        <v>75233.409009108625</v>
      </c>
      <c r="K69" s="325">
        <f t="shared" si="1"/>
        <v>152369.4831714434</v>
      </c>
      <c r="L69" s="1"/>
    </row>
    <row r="70" spans="1:12" ht="14.5" x14ac:dyDescent="0.35">
      <c r="A70" s="169">
        <v>61</v>
      </c>
      <c r="B70" s="169">
        <v>2079</v>
      </c>
      <c r="C70" s="325">
        <v>0</v>
      </c>
      <c r="D70" s="325">
        <f t="shared" si="4"/>
        <v>34110.538902</v>
      </c>
      <c r="E70" s="325">
        <f t="shared" si="5"/>
        <v>7963.6833683644127</v>
      </c>
      <c r="F70" s="325">
        <f t="shared" si="9"/>
        <v>28425.449085000004</v>
      </c>
      <c r="G70" s="334">
        <f t="shared" si="10"/>
        <v>6636.4028069703445</v>
      </c>
      <c r="H70" s="96" t="s">
        <v>687</v>
      </c>
      <c r="I70" s="326">
        <v>1657057.4722373972</v>
      </c>
      <c r="J70" s="325">
        <f t="shared" si="11"/>
        <v>75120.866709068505</v>
      </c>
      <c r="K70" s="325">
        <f t="shared" si="1"/>
        <v>152256.94087140326</v>
      </c>
      <c r="L70" s="1"/>
    </row>
    <row r="71" spans="1:12" ht="14.5" x14ac:dyDescent="0.35">
      <c r="A71" s="169">
        <v>62</v>
      </c>
      <c r="B71" s="169">
        <v>2080</v>
      </c>
      <c r="C71" s="325">
        <v>0</v>
      </c>
      <c r="D71" s="325">
        <f t="shared" si="4"/>
        <v>34110.538902</v>
      </c>
      <c r="E71" s="325">
        <f t="shared" si="5"/>
        <v>7963.6833683644127</v>
      </c>
      <c r="F71" s="325">
        <f t="shared" si="9"/>
        <v>28425.449085000004</v>
      </c>
      <c r="G71" s="334">
        <f t="shared" si="10"/>
        <v>6636.4028069703445</v>
      </c>
      <c r="H71" s="96" t="s">
        <v>687</v>
      </c>
      <c r="I71" s="326">
        <v>1654643.1596700321</v>
      </c>
      <c r="J71" s="325">
        <f t="shared" si="11"/>
        <v>75011.416520643717</v>
      </c>
      <c r="K71" s="325">
        <f t="shared" si="1"/>
        <v>152147.49068297847</v>
      </c>
      <c r="L71" s="1"/>
    </row>
    <row r="72" spans="1:12" ht="14.5" x14ac:dyDescent="0.35">
      <c r="A72" s="169">
        <v>63</v>
      </c>
      <c r="B72" s="169">
        <v>2081</v>
      </c>
      <c r="C72" s="325">
        <v>0</v>
      </c>
      <c r="D72" s="325">
        <f t="shared" si="4"/>
        <v>34110.538902</v>
      </c>
      <c r="E72" s="325">
        <f t="shared" si="5"/>
        <v>7963.6833683644127</v>
      </c>
      <c r="F72" s="325">
        <f t="shared" si="9"/>
        <v>28425.449085000004</v>
      </c>
      <c r="G72" s="334">
        <f t="shared" si="10"/>
        <v>6636.4028069703445</v>
      </c>
      <c r="H72" s="96" t="s">
        <v>687</v>
      </c>
      <c r="I72" s="326">
        <v>1652285.5050194855</v>
      </c>
      <c r="J72" s="325">
        <f t="shared" si="11"/>
        <v>74904.534856177022</v>
      </c>
      <c r="K72" s="325">
        <f t="shared" si="1"/>
        <v>152040.60901851178</v>
      </c>
      <c r="L72" s="1"/>
    </row>
    <row r="73" spans="1:12" ht="14.5" x14ac:dyDescent="0.35">
      <c r="A73" s="169">
        <v>64</v>
      </c>
      <c r="B73" s="169">
        <v>2082</v>
      </c>
      <c r="C73" s="325">
        <v>0</v>
      </c>
      <c r="D73" s="325">
        <f t="shared" si="4"/>
        <v>34110.538902</v>
      </c>
      <c r="E73" s="325">
        <f t="shared" si="5"/>
        <v>7963.6833683644127</v>
      </c>
      <c r="F73" s="325">
        <f t="shared" si="9"/>
        <v>28425.449085000004</v>
      </c>
      <c r="G73" s="334">
        <f t="shared" si="10"/>
        <v>6636.4028069703445</v>
      </c>
      <c r="H73" s="96" t="s">
        <v>687</v>
      </c>
      <c r="I73" s="326">
        <v>1649975.0386123804</v>
      </c>
      <c r="J73" s="325">
        <f t="shared" si="11"/>
        <v>74799.792418505516</v>
      </c>
      <c r="K73" s="325">
        <f t="shared" si="1"/>
        <v>151935.86658084029</v>
      </c>
      <c r="L73" s="1"/>
    </row>
    <row r="74" spans="1:12" ht="14.5" x14ac:dyDescent="0.35">
      <c r="A74" s="169">
        <v>65</v>
      </c>
      <c r="B74" s="169">
        <v>2083</v>
      </c>
      <c r="C74" s="325">
        <v>0</v>
      </c>
      <c r="D74" s="325">
        <f t="shared" si="4"/>
        <v>34110.538902</v>
      </c>
      <c r="E74" s="325">
        <f t="shared" si="5"/>
        <v>7963.6833683644127</v>
      </c>
      <c r="F74" s="325">
        <f t="shared" si="9"/>
        <v>28425.449085000004</v>
      </c>
      <c r="G74" s="334">
        <f t="shared" si="10"/>
        <v>6636.4028069703445</v>
      </c>
      <c r="H74" s="96" t="s">
        <v>687</v>
      </c>
      <c r="I74" s="326">
        <v>1647726.5800461979</v>
      </c>
      <c r="J74" s="325">
        <f t="shared" si="11"/>
        <v>74697.861037680806</v>
      </c>
      <c r="K74" s="325">
        <f t="shared" si="1"/>
        <v>151833.93520001558</v>
      </c>
      <c r="L74" s="1"/>
    </row>
    <row r="75" spans="1:12" ht="14.5" x14ac:dyDescent="0.35">
      <c r="A75" s="169">
        <v>66</v>
      </c>
      <c r="B75" s="169">
        <v>2084</v>
      </c>
      <c r="C75" s="325">
        <v>0</v>
      </c>
      <c r="D75" s="325">
        <f t="shared" si="4"/>
        <v>34110.538902</v>
      </c>
      <c r="E75" s="325">
        <f t="shared" si="5"/>
        <v>7963.6833683644127</v>
      </c>
      <c r="F75" s="325">
        <f t="shared" si="9"/>
        <v>28425.449085000004</v>
      </c>
      <c r="G75" s="334">
        <f t="shared" si="10"/>
        <v>6636.4028069703445</v>
      </c>
      <c r="H75" s="96" t="s">
        <v>687</v>
      </c>
      <c r="I75" s="326">
        <v>1645530.5441500554</v>
      </c>
      <c r="J75" s="325">
        <f t="shared" si="11"/>
        <v>74598.306180588421</v>
      </c>
      <c r="K75" s="325">
        <f t="shared" ref="K75:K109" si="12">SUM(C75:H75,J75)</f>
        <v>151734.38034292319</v>
      </c>
      <c r="L75" s="1"/>
    </row>
    <row r="76" spans="1:12" ht="14.5" x14ac:dyDescent="0.35">
      <c r="A76" s="169">
        <v>67</v>
      </c>
      <c r="B76" s="169">
        <v>2085</v>
      </c>
      <c r="C76" s="325">
        <v>0</v>
      </c>
      <c r="D76" s="325">
        <f t="shared" si="4"/>
        <v>34110.538902</v>
      </c>
      <c r="E76" s="325">
        <f t="shared" si="5"/>
        <v>7963.6833683644127</v>
      </c>
      <c r="F76" s="325">
        <f t="shared" si="9"/>
        <v>28425.449085000004</v>
      </c>
      <c r="G76" s="334">
        <f t="shared" si="10"/>
        <v>6636.4028069703445</v>
      </c>
      <c r="H76" s="96" t="s">
        <v>687</v>
      </c>
      <c r="I76" s="326">
        <v>1643382.005253131</v>
      </c>
      <c r="J76" s="325">
        <f t="shared" si="11"/>
        <v>74500.904547392696</v>
      </c>
      <c r="K76" s="325">
        <f t="shared" si="12"/>
        <v>151636.97870972747</v>
      </c>
      <c r="L76" s="1"/>
    </row>
    <row r="77" spans="1:12" ht="14.5" x14ac:dyDescent="0.35">
      <c r="A77" s="169">
        <v>68</v>
      </c>
      <c r="B77" s="169">
        <v>2086</v>
      </c>
      <c r="C77" s="325">
        <v>0</v>
      </c>
      <c r="D77" s="325">
        <f t="shared" si="4"/>
        <v>34110.538902</v>
      </c>
      <c r="E77" s="325">
        <f t="shared" si="5"/>
        <v>7963.6833683644127</v>
      </c>
      <c r="F77" s="325">
        <f t="shared" si="9"/>
        <v>28425.449085000004</v>
      </c>
      <c r="G77" s="334">
        <f t="shared" si="10"/>
        <v>6636.4028069703445</v>
      </c>
      <c r="H77" s="96" t="s">
        <v>687</v>
      </c>
      <c r="I77" s="326">
        <v>1641275.1464828253</v>
      </c>
      <c r="J77" s="325">
        <f t="shared" si="11"/>
        <v>74405.392436611612</v>
      </c>
      <c r="K77" s="325">
        <f t="shared" si="12"/>
        <v>151541.46659894637</v>
      </c>
      <c r="L77" s="1"/>
    </row>
    <row r="78" spans="1:12" ht="14.5" x14ac:dyDescent="0.35">
      <c r="A78" s="169">
        <v>69</v>
      </c>
      <c r="B78" s="169">
        <v>2087</v>
      </c>
      <c r="C78" s="325">
        <v>0</v>
      </c>
      <c r="D78" s="325">
        <f t="shared" si="4"/>
        <v>34110.538902</v>
      </c>
      <c r="E78" s="325">
        <f t="shared" si="5"/>
        <v>7963.6833683644127</v>
      </c>
      <c r="F78" s="325">
        <f t="shared" si="9"/>
        <v>28425.449085000004</v>
      </c>
      <c r="G78" s="334">
        <f t="shared" si="10"/>
        <v>6636.4028069703445</v>
      </c>
      <c r="H78" s="96" t="s">
        <v>687</v>
      </c>
      <c r="I78" s="326">
        <v>1639220.5811898983</v>
      </c>
      <c r="J78" s="325">
        <f t="shared" si="11"/>
        <v>74312.250992756526</v>
      </c>
      <c r="K78" s="325">
        <f t="shared" si="12"/>
        <v>151448.3251550913</v>
      </c>
      <c r="L78" s="1"/>
    </row>
    <row r="79" spans="1:12" ht="14.5" x14ac:dyDescent="0.35">
      <c r="A79" s="169">
        <v>70</v>
      </c>
      <c r="B79" s="169">
        <v>2088</v>
      </c>
      <c r="C79" s="325">
        <v>0</v>
      </c>
      <c r="D79" s="325">
        <f t="shared" si="4"/>
        <v>34110.538902</v>
      </c>
      <c r="E79" s="325">
        <f t="shared" si="5"/>
        <v>7963.6833683644127</v>
      </c>
      <c r="F79" s="325">
        <f t="shared" ref="F79:F109" si="13">$K$3*$K$6</f>
        <v>28425.449085000004</v>
      </c>
      <c r="G79" s="334">
        <f t="shared" ref="G79:G109" si="14">$K$4*$K$6</f>
        <v>6636.4028069703445</v>
      </c>
      <c r="H79" s="96" t="s">
        <v>687</v>
      </c>
      <c r="I79" s="326">
        <v>1637214.8390309666</v>
      </c>
      <c r="J79" s="325">
        <f t="shared" si="11"/>
        <v>74221.322891650649</v>
      </c>
      <c r="K79" s="325">
        <f t="shared" si="12"/>
        <v>151357.39705398542</v>
      </c>
      <c r="L79" s="1"/>
    </row>
    <row r="80" spans="1:12" ht="14.5" x14ac:dyDescent="0.35">
      <c r="A80" s="169">
        <v>71</v>
      </c>
      <c r="B80" s="169">
        <v>2089</v>
      </c>
      <c r="C80" s="325">
        <v>0</v>
      </c>
      <c r="D80" s="325">
        <f t="shared" ref="D80:D109" si="15">$K$3*$K$5</f>
        <v>34110.538902</v>
      </c>
      <c r="E80" s="325">
        <f t="shared" ref="E80:E109" si="16">$K$4*$K$5</f>
        <v>7963.6833683644127</v>
      </c>
      <c r="F80" s="325">
        <f t="shared" si="13"/>
        <v>28425.449085000004</v>
      </c>
      <c r="G80" s="334">
        <f t="shared" si="14"/>
        <v>6636.4028069703445</v>
      </c>
      <c r="H80" s="96" t="s">
        <v>687</v>
      </c>
      <c r="I80" s="326">
        <v>1635252.5888336594</v>
      </c>
      <c r="J80" s="325">
        <f t="shared" ref="J80:J109" si="17">(I80)*$K$8</f>
        <v>74132.366450494301</v>
      </c>
      <c r="K80" s="325">
        <f t="shared" si="12"/>
        <v>151268.44061282906</v>
      </c>
      <c r="L80" s="1"/>
    </row>
    <row r="81" spans="1:12" ht="14.5" x14ac:dyDescent="0.35">
      <c r="A81" s="169">
        <v>72</v>
      </c>
      <c r="B81" s="169">
        <v>2090</v>
      </c>
      <c r="C81" s="325">
        <v>0</v>
      </c>
      <c r="D81" s="325">
        <f t="shared" si="15"/>
        <v>34110.538902</v>
      </c>
      <c r="E81" s="325">
        <f t="shared" si="16"/>
        <v>7963.6833683644127</v>
      </c>
      <c r="F81" s="325">
        <f t="shared" si="13"/>
        <v>28425.449085000004</v>
      </c>
      <c r="G81" s="334">
        <f t="shared" si="14"/>
        <v>6636.4028069703445</v>
      </c>
      <c r="H81" s="96" t="s">
        <v>687</v>
      </c>
      <c r="I81" s="326">
        <v>1633330.6781782629</v>
      </c>
      <c r="J81" s="325">
        <f t="shared" si="17"/>
        <v>74045.23875782844</v>
      </c>
      <c r="K81" s="325">
        <f t="shared" si="12"/>
        <v>151181.31292016321</v>
      </c>
      <c r="L81" s="1"/>
    </row>
    <row r="82" spans="1:12" ht="14.5" x14ac:dyDescent="0.35">
      <c r="A82" s="169">
        <v>73</v>
      </c>
      <c r="B82" s="169">
        <v>2091</v>
      </c>
      <c r="C82" s="325">
        <v>0</v>
      </c>
      <c r="D82" s="325">
        <f t="shared" si="15"/>
        <v>34110.538902</v>
      </c>
      <c r="E82" s="325">
        <f t="shared" si="16"/>
        <v>7963.6833683644127</v>
      </c>
      <c r="F82" s="325">
        <f t="shared" si="13"/>
        <v>28425.449085000004</v>
      </c>
      <c r="G82" s="334">
        <f t="shared" si="14"/>
        <v>6636.4028069703445</v>
      </c>
      <c r="H82" s="96" t="s">
        <v>687</v>
      </c>
      <c r="I82" s="326">
        <v>1631451.9091129757</v>
      </c>
      <c r="J82" s="325">
        <f t="shared" si="17"/>
        <v>73960.066841407213</v>
      </c>
      <c r="K82" s="325">
        <f t="shared" si="12"/>
        <v>151096.141003742</v>
      </c>
      <c r="L82" s="1"/>
    </row>
    <row r="83" spans="1:12" ht="14.5" x14ac:dyDescent="0.35">
      <c r="A83" s="169">
        <v>74</v>
      </c>
      <c r="B83" s="169">
        <v>2092</v>
      </c>
      <c r="C83" s="325">
        <v>0</v>
      </c>
      <c r="D83" s="325">
        <f t="shared" si="15"/>
        <v>34110.538902</v>
      </c>
      <c r="E83" s="325">
        <f t="shared" si="16"/>
        <v>7963.6833683644127</v>
      </c>
      <c r="F83" s="325">
        <f t="shared" si="13"/>
        <v>28425.449085000004</v>
      </c>
      <c r="G83" s="334">
        <f t="shared" si="14"/>
        <v>6636.4028069703445</v>
      </c>
      <c r="H83" s="96" t="s">
        <v>687</v>
      </c>
      <c r="I83" s="326">
        <v>1629867.9811626237</v>
      </c>
      <c r="J83" s="325">
        <f t="shared" si="17"/>
        <v>73888.261220643501</v>
      </c>
      <c r="K83" s="325">
        <f t="shared" si="12"/>
        <v>151024.33538297826</v>
      </c>
      <c r="L83" s="1"/>
    </row>
    <row r="84" spans="1:12" ht="14.5" x14ac:dyDescent="0.35">
      <c r="A84" s="169">
        <v>75</v>
      </c>
      <c r="B84" s="169">
        <v>2093</v>
      </c>
      <c r="C84" s="325">
        <v>0</v>
      </c>
      <c r="D84" s="325">
        <f t="shared" si="15"/>
        <v>34110.538902</v>
      </c>
      <c r="E84" s="325">
        <f t="shared" si="16"/>
        <v>7963.6833683644127</v>
      </c>
      <c r="F84" s="325">
        <f t="shared" si="13"/>
        <v>28425.449085000004</v>
      </c>
      <c r="G84" s="334">
        <f t="shared" si="14"/>
        <v>6636.4028069703445</v>
      </c>
      <c r="H84" s="96" t="s">
        <v>687</v>
      </c>
      <c r="I84" s="326">
        <v>1628324.453018663</v>
      </c>
      <c r="J84" s="325">
        <f t="shared" si="17"/>
        <v>73818.287080393784</v>
      </c>
      <c r="K84" s="325">
        <f t="shared" si="12"/>
        <v>150954.36124272854</v>
      </c>
      <c r="L84" s="1"/>
    </row>
    <row r="85" spans="1:12" ht="14.5" x14ac:dyDescent="0.35">
      <c r="A85" s="169">
        <v>76</v>
      </c>
      <c r="B85" s="169">
        <v>2094</v>
      </c>
      <c r="C85" s="325">
        <v>0</v>
      </c>
      <c r="D85" s="325">
        <f t="shared" si="15"/>
        <v>34110.538902</v>
      </c>
      <c r="E85" s="325">
        <f t="shared" si="16"/>
        <v>7963.6833683644127</v>
      </c>
      <c r="F85" s="325">
        <f t="shared" si="13"/>
        <v>28425.449085000004</v>
      </c>
      <c r="G85" s="334">
        <f t="shared" si="14"/>
        <v>6636.4028069703445</v>
      </c>
      <c r="H85" s="96" t="s">
        <v>687</v>
      </c>
      <c r="I85" s="326">
        <v>1626807.3549074705</v>
      </c>
      <c r="J85" s="325">
        <f t="shared" si="17"/>
        <v>73749.511116430644</v>
      </c>
      <c r="K85" s="325">
        <f t="shared" si="12"/>
        <v>150885.58527876541</v>
      </c>
      <c r="L85" s="1"/>
    </row>
    <row r="86" spans="1:12" ht="14.5" x14ac:dyDescent="0.35">
      <c r="A86" s="169">
        <v>77</v>
      </c>
      <c r="B86" s="169">
        <v>2095</v>
      </c>
      <c r="C86" s="325">
        <v>0</v>
      </c>
      <c r="D86" s="325">
        <f t="shared" si="15"/>
        <v>34110.538902</v>
      </c>
      <c r="E86" s="325">
        <f t="shared" si="16"/>
        <v>7963.6833683644127</v>
      </c>
      <c r="F86" s="325">
        <f t="shared" si="13"/>
        <v>28425.449085000004</v>
      </c>
      <c r="G86" s="334">
        <f t="shared" si="14"/>
        <v>6636.4028069703445</v>
      </c>
      <c r="H86" s="96" t="s">
        <v>687</v>
      </c>
      <c r="I86" s="326">
        <v>1625325.8571261261</v>
      </c>
      <c r="J86" s="325">
        <f t="shared" si="17"/>
        <v>73682.349054023784</v>
      </c>
      <c r="K86" s="325">
        <f t="shared" si="12"/>
        <v>150818.42321635855</v>
      </c>
      <c r="L86" s="1"/>
    </row>
    <row r="87" spans="1:12" ht="14.5" x14ac:dyDescent="0.35">
      <c r="A87" s="169">
        <v>78</v>
      </c>
      <c r="B87" s="169">
        <v>2096</v>
      </c>
      <c r="C87" s="325">
        <v>0</v>
      </c>
      <c r="D87" s="325">
        <f t="shared" si="15"/>
        <v>34110.538902</v>
      </c>
      <c r="E87" s="325">
        <f t="shared" si="16"/>
        <v>7963.6833683644127</v>
      </c>
      <c r="F87" s="325">
        <f t="shared" si="13"/>
        <v>28425.449085000004</v>
      </c>
      <c r="G87" s="334">
        <f t="shared" si="14"/>
        <v>6636.4028069703445</v>
      </c>
      <c r="H87" s="96" t="s">
        <v>687</v>
      </c>
      <c r="I87" s="326">
        <v>1623873.1179330628</v>
      </c>
      <c r="J87" s="325">
        <f t="shared" si="17"/>
        <v>73616.490730390753</v>
      </c>
      <c r="K87" s="325">
        <f t="shared" si="12"/>
        <v>150752.56489272552</v>
      </c>
      <c r="L87" s="1"/>
    </row>
    <row r="88" spans="1:12" ht="14.5" x14ac:dyDescent="0.35">
      <c r="A88" s="169">
        <v>79</v>
      </c>
      <c r="B88" s="169">
        <v>2097</v>
      </c>
      <c r="C88" s="325">
        <v>0</v>
      </c>
      <c r="D88" s="325">
        <f t="shared" si="15"/>
        <v>34110.538902</v>
      </c>
      <c r="E88" s="325">
        <f t="shared" si="16"/>
        <v>7963.6833683644127</v>
      </c>
      <c r="F88" s="325">
        <f t="shared" si="13"/>
        <v>28425.449085000004</v>
      </c>
      <c r="G88" s="334">
        <f t="shared" si="14"/>
        <v>6636.4028069703445</v>
      </c>
      <c r="H88" s="96" t="s">
        <v>687</v>
      </c>
      <c r="I88" s="326">
        <v>1622447.2416635356</v>
      </c>
      <c r="J88" s="325">
        <f t="shared" si="17"/>
        <v>73551.850207668176</v>
      </c>
      <c r="K88" s="325">
        <f t="shared" si="12"/>
        <v>150687.92437000293</v>
      </c>
      <c r="L88" s="1"/>
    </row>
    <row r="89" spans="1:12" ht="14.5" x14ac:dyDescent="0.35">
      <c r="A89" s="169">
        <v>80</v>
      </c>
      <c r="B89" s="169">
        <v>2098</v>
      </c>
      <c r="C89" s="325">
        <v>0</v>
      </c>
      <c r="D89" s="325">
        <f t="shared" si="15"/>
        <v>34110.538902</v>
      </c>
      <c r="E89" s="325">
        <f t="shared" si="16"/>
        <v>7963.6833683644127</v>
      </c>
      <c r="F89" s="325">
        <f t="shared" si="13"/>
        <v>28425.449085000004</v>
      </c>
      <c r="G89" s="334">
        <f t="shared" si="14"/>
        <v>6636.4028069703445</v>
      </c>
      <c r="H89" s="96" t="s">
        <v>687</v>
      </c>
      <c r="I89" s="326">
        <v>1621046.5519549879</v>
      </c>
      <c r="J89" s="325">
        <f t="shared" si="17"/>
        <v>73488.351489814711</v>
      </c>
      <c r="K89" s="325">
        <f t="shared" si="12"/>
        <v>150624.42565214948</v>
      </c>
      <c r="L89" s="1"/>
    </row>
    <row r="90" spans="1:12" ht="14.5" x14ac:dyDescent="0.35">
      <c r="A90" s="169">
        <v>81</v>
      </c>
      <c r="B90" s="169">
        <v>2099</v>
      </c>
      <c r="C90" s="325">
        <v>0</v>
      </c>
      <c r="D90" s="325">
        <f t="shared" si="15"/>
        <v>34110.538902</v>
      </c>
      <c r="E90" s="325">
        <f t="shared" si="16"/>
        <v>7963.6833683644127</v>
      </c>
      <c r="F90" s="325">
        <f t="shared" si="13"/>
        <v>28425.449085000004</v>
      </c>
      <c r="G90" s="334">
        <f t="shared" si="14"/>
        <v>6636.4028069703445</v>
      </c>
      <c r="H90" s="96" t="s">
        <v>687</v>
      </c>
      <c r="I90" s="326">
        <v>1619664.71659909</v>
      </c>
      <c r="J90" s="325">
        <f t="shared" si="17"/>
        <v>73425.707513173315</v>
      </c>
      <c r="K90" s="325">
        <f t="shared" si="12"/>
        <v>150561.78167550807</v>
      </c>
      <c r="L90" s="1"/>
    </row>
    <row r="91" spans="1:12" ht="14.5" x14ac:dyDescent="0.35">
      <c r="A91" s="169">
        <v>82</v>
      </c>
      <c r="B91" s="169">
        <v>2100</v>
      </c>
      <c r="C91" s="325">
        <v>0</v>
      </c>
      <c r="D91" s="325">
        <f t="shared" si="15"/>
        <v>34110.538902</v>
      </c>
      <c r="E91" s="325">
        <f t="shared" si="16"/>
        <v>7963.6833683644127</v>
      </c>
      <c r="F91" s="325">
        <f t="shared" si="13"/>
        <v>28425.449085000004</v>
      </c>
      <c r="G91" s="334">
        <f t="shared" si="14"/>
        <v>6636.4028069703445</v>
      </c>
      <c r="H91" s="96" t="s">
        <v>687</v>
      </c>
      <c r="I91" s="326">
        <v>1618303.8503423734</v>
      </c>
      <c r="J91" s="325">
        <f t="shared" si="17"/>
        <v>73364.014147437701</v>
      </c>
      <c r="K91" s="325">
        <f t="shared" si="12"/>
        <v>150500.08830977249</v>
      </c>
      <c r="L91" s="1"/>
    </row>
    <row r="92" spans="1:12" ht="14.5" x14ac:dyDescent="0.35">
      <c r="A92" s="169">
        <v>83</v>
      </c>
      <c r="B92" s="169">
        <v>2101</v>
      </c>
      <c r="C92" s="325">
        <v>0</v>
      </c>
      <c r="D92" s="325">
        <f t="shared" si="15"/>
        <v>34110.538902</v>
      </c>
      <c r="E92" s="325">
        <f t="shared" si="16"/>
        <v>7963.6833683644127</v>
      </c>
      <c r="F92" s="325">
        <f t="shared" si="13"/>
        <v>28425.449085000004</v>
      </c>
      <c r="G92" s="334">
        <f t="shared" si="14"/>
        <v>6636.4028069703445</v>
      </c>
      <c r="H92" s="96" t="s">
        <v>687</v>
      </c>
      <c r="I92" s="326">
        <v>1616972.7994789216</v>
      </c>
      <c r="J92" s="325">
        <f t="shared" si="17"/>
        <v>73303.67242956032</v>
      </c>
      <c r="K92" s="325">
        <f t="shared" si="12"/>
        <v>150439.74659189509</v>
      </c>
      <c r="L92" s="1"/>
    </row>
    <row r="93" spans="1:12" ht="14.5" x14ac:dyDescent="0.35">
      <c r="A93" s="169">
        <v>84</v>
      </c>
      <c r="B93" s="169">
        <v>2102</v>
      </c>
      <c r="C93" s="325">
        <v>0</v>
      </c>
      <c r="D93" s="325">
        <f t="shared" si="15"/>
        <v>34110.538902</v>
      </c>
      <c r="E93" s="325">
        <f t="shared" si="16"/>
        <v>7963.6833683644127</v>
      </c>
      <c r="F93" s="325">
        <f t="shared" si="13"/>
        <v>28425.449085000004</v>
      </c>
      <c r="G93" s="334">
        <f t="shared" si="14"/>
        <v>6636.4028069703445</v>
      </c>
      <c r="H93" s="96" t="s">
        <v>687</v>
      </c>
      <c r="I93" s="326">
        <v>1615670.4078013778</v>
      </c>
      <c r="J93" s="325">
        <f t="shared" si="17"/>
        <v>73244.629944160188</v>
      </c>
      <c r="K93" s="325">
        <f t="shared" si="12"/>
        <v>150380.70410649496</v>
      </c>
      <c r="L93" s="1"/>
    </row>
    <row r="94" spans="1:12" ht="14.5" x14ac:dyDescent="0.35">
      <c r="A94" s="169">
        <v>85</v>
      </c>
      <c r="B94" s="169">
        <v>2103</v>
      </c>
      <c r="C94" s="325">
        <v>0</v>
      </c>
      <c r="D94" s="325">
        <f t="shared" si="15"/>
        <v>34110.538902</v>
      </c>
      <c r="E94" s="325">
        <f t="shared" si="16"/>
        <v>7963.6833683644127</v>
      </c>
      <c r="F94" s="325">
        <f t="shared" si="13"/>
        <v>28425.449085000004</v>
      </c>
      <c r="G94" s="334">
        <f t="shared" si="14"/>
        <v>6636.4028069703445</v>
      </c>
      <c r="H94" s="96" t="s">
        <v>687</v>
      </c>
      <c r="I94" s="326">
        <v>1614381.6680579945</v>
      </c>
      <c r="J94" s="325">
        <f t="shared" si="17"/>
        <v>73186.20635408719</v>
      </c>
      <c r="K94" s="325">
        <f t="shared" si="12"/>
        <v>150322.28051642195</v>
      </c>
      <c r="L94" s="1"/>
    </row>
    <row r="95" spans="1:12" ht="14.5" x14ac:dyDescent="0.35">
      <c r="A95" s="169">
        <v>86</v>
      </c>
      <c r="B95" s="169">
        <v>2104</v>
      </c>
      <c r="C95" s="325">
        <v>0</v>
      </c>
      <c r="D95" s="325">
        <f t="shared" si="15"/>
        <v>34110.538902</v>
      </c>
      <c r="E95" s="325">
        <f t="shared" si="16"/>
        <v>7963.6833683644127</v>
      </c>
      <c r="F95" s="325">
        <f t="shared" si="13"/>
        <v>28425.449085000004</v>
      </c>
      <c r="G95" s="334">
        <f t="shared" si="14"/>
        <v>6636.4028069703445</v>
      </c>
      <c r="H95" s="96" t="s">
        <v>687</v>
      </c>
      <c r="I95" s="326">
        <v>1613111.7033688407</v>
      </c>
      <c r="J95" s="325">
        <f t="shared" si="17"/>
        <v>73128.633910320161</v>
      </c>
      <c r="K95" s="325">
        <f t="shared" si="12"/>
        <v>150264.70807265493</v>
      </c>
      <c r="L95" s="1"/>
    </row>
    <row r="96" spans="1:12" ht="14.5" x14ac:dyDescent="0.35">
      <c r="A96" s="169">
        <v>87</v>
      </c>
      <c r="B96" s="169">
        <v>2105</v>
      </c>
      <c r="C96" s="325">
        <v>0</v>
      </c>
      <c r="D96" s="325">
        <f t="shared" si="15"/>
        <v>34110.538902</v>
      </c>
      <c r="E96" s="325">
        <f t="shared" si="16"/>
        <v>7963.6833683644127</v>
      </c>
      <c r="F96" s="325">
        <f t="shared" si="13"/>
        <v>28425.449085000004</v>
      </c>
      <c r="G96" s="334">
        <f t="shared" si="14"/>
        <v>6636.4028069703445</v>
      </c>
      <c r="H96" s="96" t="s">
        <v>687</v>
      </c>
      <c r="I96" s="326">
        <v>1611870.8915405166</v>
      </c>
      <c r="J96" s="325">
        <f t="shared" si="17"/>
        <v>73072.383079236606</v>
      </c>
      <c r="K96" s="325">
        <f t="shared" si="12"/>
        <v>150208.45724157139</v>
      </c>
      <c r="L96" s="1"/>
    </row>
    <row r="97" spans="1:12" ht="14.5" x14ac:dyDescent="0.35">
      <c r="A97" s="169">
        <v>88</v>
      </c>
      <c r="B97" s="169">
        <v>2106</v>
      </c>
      <c r="C97" s="325">
        <v>0</v>
      </c>
      <c r="D97" s="325">
        <f t="shared" si="15"/>
        <v>34110.538902</v>
      </c>
      <c r="E97" s="325">
        <f t="shared" si="16"/>
        <v>7963.6833683644127</v>
      </c>
      <c r="F97" s="325">
        <f t="shared" si="13"/>
        <v>28425.449085000004</v>
      </c>
      <c r="G97" s="334">
        <f t="shared" si="14"/>
        <v>6636.4028069703445</v>
      </c>
      <c r="H97" s="96" t="s">
        <v>687</v>
      </c>
      <c r="I97" s="326">
        <v>1610644.8385071442</v>
      </c>
      <c r="J97" s="325">
        <f t="shared" si="17"/>
        <v>73016.801321789244</v>
      </c>
      <c r="K97" s="325">
        <f t="shared" si="12"/>
        <v>150152.875484124</v>
      </c>
      <c r="L97" s="1"/>
    </row>
    <row r="98" spans="1:12" ht="14.5" x14ac:dyDescent="0.35">
      <c r="A98" s="169">
        <v>89</v>
      </c>
      <c r="B98" s="169">
        <v>2107</v>
      </c>
      <c r="C98" s="325">
        <v>0</v>
      </c>
      <c r="D98" s="325">
        <f t="shared" si="15"/>
        <v>34110.538902</v>
      </c>
      <c r="E98" s="325">
        <f t="shared" si="16"/>
        <v>7963.6833683644127</v>
      </c>
      <c r="F98" s="325">
        <f t="shared" si="13"/>
        <v>28425.449085000004</v>
      </c>
      <c r="G98" s="334">
        <f t="shared" si="14"/>
        <v>6636.4028069703445</v>
      </c>
      <c r="H98" s="96" t="s">
        <v>687</v>
      </c>
      <c r="I98" s="326">
        <v>1609443.7759646815</v>
      </c>
      <c r="J98" s="325">
        <f t="shared" si="17"/>
        <v>72962.352480591377</v>
      </c>
      <c r="K98" s="325">
        <f t="shared" si="12"/>
        <v>150098.42664292615</v>
      </c>
      <c r="L98" s="1"/>
    </row>
    <row r="99" spans="1:12" ht="14.5" x14ac:dyDescent="0.35">
      <c r="A99" s="169">
        <v>90</v>
      </c>
      <c r="B99" s="169">
        <v>2108</v>
      </c>
      <c r="C99" s="325">
        <v>0</v>
      </c>
      <c r="D99" s="325">
        <f t="shared" si="15"/>
        <v>34110.538902</v>
      </c>
      <c r="E99" s="325">
        <f t="shared" si="16"/>
        <v>7963.6833683644127</v>
      </c>
      <c r="F99" s="325">
        <f t="shared" si="13"/>
        <v>28425.449085000004</v>
      </c>
      <c r="G99" s="334">
        <f t="shared" si="14"/>
        <v>6636.4028069703445</v>
      </c>
      <c r="H99" s="96" t="s">
        <v>687</v>
      </c>
      <c r="I99" s="326">
        <v>1608262.2912837779</v>
      </c>
      <c r="J99" s="325">
        <f t="shared" si="17"/>
        <v>72908.791180081316</v>
      </c>
      <c r="K99" s="325">
        <f t="shared" si="12"/>
        <v>150044.8653424161</v>
      </c>
      <c r="L99" s="1"/>
    </row>
    <row r="100" spans="1:12" ht="14.5" x14ac:dyDescent="0.35">
      <c r="A100" s="169">
        <v>91</v>
      </c>
      <c r="B100" s="169">
        <v>2109</v>
      </c>
      <c r="C100" s="325">
        <v>0</v>
      </c>
      <c r="D100" s="325">
        <f t="shared" si="15"/>
        <v>34110.538902</v>
      </c>
      <c r="E100" s="325">
        <f t="shared" si="16"/>
        <v>7963.6833683644127</v>
      </c>
      <c r="F100" s="325">
        <f t="shared" si="13"/>
        <v>28425.449085000004</v>
      </c>
      <c r="G100" s="334">
        <f t="shared" si="14"/>
        <v>6636.4028069703445</v>
      </c>
      <c r="H100" s="96" t="s">
        <v>687</v>
      </c>
      <c r="I100" s="326">
        <v>1607103.1116902907</v>
      </c>
      <c r="J100" s="325">
        <f t="shared" si="17"/>
        <v>72856.241056025174</v>
      </c>
      <c r="K100" s="325">
        <f t="shared" si="12"/>
        <v>149992.31521835993</v>
      </c>
      <c r="L100" s="1"/>
    </row>
    <row r="101" spans="1:12" ht="14.5" x14ac:dyDescent="0.35">
      <c r="A101" s="169">
        <v>92</v>
      </c>
      <c r="B101" s="169">
        <v>2110</v>
      </c>
      <c r="C101" s="325">
        <v>0</v>
      </c>
      <c r="D101" s="325">
        <f t="shared" si="15"/>
        <v>34110.538902</v>
      </c>
      <c r="E101" s="325">
        <f t="shared" si="16"/>
        <v>7963.6833683644127</v>
      </c>
      <c r="F101" s="325">
        <f t="shared" si="13"/>
        <v>28425.449085000004</v>
      </c>
      <c r="G101" s="334">
        <f t="shared" si="14"/>
        <v>6636.4028069703445</v>
      </c>
      <c r="H101" s="96" t="s">
        <v>687</v>
      </c>
      <c r="I101" s="326">
        <v>1605971.6092636711</v>
      </c>
      <c r="J101" s="325">
        <f t="shared" si="17"/>
        <v>72804.94564569983</v>
      </c>
      <c r="K101" s="325">
        <f t="shared" si="12"/>
        <v>149941.01980803459</v>
      </c>
      <c r="L101" s="1"/>
    </row>
    <row r="102" spans="1:12" ht="14.5" x14ac:dyDescent="0.35">
      <c r="A102" s="169">
        <v>93</v>
      </c>
      <c r="B102" s="169">
        <v>2111</v>
      </c>
      <c r="C102" s="325">
        <v>0</v>
      </c>
      <c r="D102" s="325">
        <f t="shared" si="15"/>
        <v>34110.538902</v>
      </c>
      <c r="E102" s="325">
        <f t="shared" si="16"/>
        <v>7963.6833683644127</v>
      </c>
      <c r="F102" s="325">
        <f t="shared" si="13"/>
        <v>28425.449085000004</v>
      </c>
      <c r="G102" s="334">
        <f t="shared" si="14"/>
        <v>6636.4028069703445</v>
      </c>
      <c r="H102" s="96" t="s">
        <v>687</v>
      </c>
      <c r="I102" s="326">
        <v>1604861.8483923303</v>
      </c>
      <c r="J102" s="325">
        <f t="shared" si="17"/>
        <v>72754.635864722615</v>
      </c>
      <c r="K102" s="325">
        <f t="shared" si="12"/>
        <v>149890.71002705739</v>
      </c>
      <c r="L102" s="1"/>
    </row>
    <row r="103" spans="1:12" ht="14.5" x14ac:dyDescent="0.35">
      <c r="A103" s="169">
        <v>94</v>
      </c>
      <c r="B103" s="169">
        <v>2112</v>
      </c>
      <c r="C103" s="325">
        <v>0</v>
      </c>
      <c r="D103" s="325">
        <f t="shared" si="15"/>
        <v>34110.538902</v>
      </c>
      <c r="E103" s="325">
        <f t="shared" si="16"/>
        <v>7963.6833683644127</v>
      </c>
      <c r="F103" s="325">
        <f t="shared" si="13"/>
        <v>28425.449085000004</v>
      </c>
      <c r="G103" s="334">
        <f t="shared" si="14"/>
        <v>6636.4028069703445</v>
      </c>
      <c r="H103" s="96" t="s">
        <v>687</v>
      </c>
      <c r="I103" s="326">
        <v>1603761.6731117694</v>
      </c>
      <c r="J103" s="325">
        <f t="shared" si="17"/>
        <v>72704.760635895436</v>
      </c>
      <c r="K103" s="325">
        <f t="shared" si="12"/>
        <v>149840.83479823021</v>
      </c>
      <c r="L103" s="1"/>
    </row>
    <row r="104" spans="1:12" ht="14.5" x14ac:dyDescent="0.35">
      <c r="A104" s="169">
        <v>95</v>
      </c>
      <c r="B104" s="169">
        <v>2113</v>
      </c>
      <c r="C104" s="325">
        <v>0</v>
      </c>
      <c r="D104" s="325">
        <f t="shared" si="15"/>
        <v>34110.538902</v>
      </c>
      <c r="E104" s="325">
        <f t="shared" si="16"/>
        <v>7963.6833683644127</v>
      </c>
      <c r="F104" s="325">
        <f t="shared" si="13"/>
        <v>28425.449085000004</v>
      </c>
      <c r="G104" s="334">
        <f t="shared" si="14"/>
        <v>6636.4028069703445</v>
      </c>
      <c r="H104" s="96" t="s">
        <v>687</v>
      </c>
      <c r="I104" s="326">
        <v>1602687.4500743998</v>
      </c>
      <c r="J104" s="325">
        <f t="shared" si="17"/>
        <v>72656.061923293091</v>
      </c>
      <c r="K104" s="325">
        <f t="shared" si="12"/>
        <v>149792.13608562786</v>
      </c>
      <c r="L104" s="1"/>
    </row>
    <row r="105" spans="1:12" ht="14.5" x14ac:dyDescent="0.35">
      <c r="A105" s="169">
        <v>96</v>
      </c>
      <c r="B105" s="169">
        <v>2114</v>
      </c>
      <c r="C105" s="325">
        <v>0</v>
      </c>
      <c r="D105" s="325">
        <f t="shared" si="15"/>
        <v>34110.538902</v>
      </c>
      <c r="E105" s="325">
        <f t="shared" si="16"/>
        <v>7963.6833683644127</v>
      </c>
      <c r="F105" s="325">
        <f t="shared" si="13"/>
        <v>28425.449085000004</v>
      </c>
      <c r="G105" s="334">
        <f t="shared" si="14"/>
        <v>6636.4028069703445</v>
      </c>
      <c r="H105" s="96" t="s">
        <v>687</v>
      </c>
      <c r="I105" s="326">
        <v>1601625.7781332112</v>
      </c>
      <c r="J105" s="325">
        <f t="shared" si="17"/>
        <v>72607.932200746349</v>
      </c>
      <c r="K105" s="325">
        <f t="shared" si="12"/>
        <v>149744.00636308111</v>
      </c>
      <c r="L105" s="1"/>
    </row>
    <row r="106" spans="1:12" ht="14.5" x14ac:dyDescent="0.35">
      <c r="A106" s="169">
        <v>97</v>
      </c>
      <c r="B106" s="169">
        <v>2115</v>
      </c>
      <c r="C106" s="325">
        <v>0</v>
      </c>
      <c r="D106" s="325">
        <f t="shared" si="15"/>
        <v>34110.538902</v>
      </c>
      <c r="E106" s="325">
        <f t="shared" si="16"/>
        <v>7963.6833683644127</v>
      </c>
      <c r="F106" s="325">
        <f t="shared" si="13"/>
        <v>28425.449085000004</v>
      </c>
      <c r="G106" s="334">
        <f t="shared" si="14"/>
        <v>6636.4028069703445</v>
      </c>
      <c r="H106" s="96" t="s">
        <v>687</v>
      </c>
      <c r="I106" s="326">
        <v>1600582.3080238977</v>
      </c>
      <c r="J106" s="325">
        <f t="shared" si="17"/>
        <v>72560.627638104488</v>
      </c>
      <c r="K106" s="325">
        <f t="shared" si="12"/>
        <v>149696.70180043927</v>
      </c>
      <c r="L106" s="1"/>
    </row>
    <row r="107" spans="1:12" ht="14.5" x14ac:dyDescent="0.35">
      <c r="A107" s="169">
        <v>98</v>
      </c>
      <c r="B107" s="169">
        <v>2116</v>
      </c>
      <c r="C107" s="325">
        <v>0</v>
      </c>
      <c r="D107" s="325">
        <f t="shared" si="15"/>
        <v>34110.538902</v>
      </c>
      <c r="E107" s="325">
        <f t="shared" si="16"/>
        <v>7963.6833683644127</v>
      </c>
      <c r="F107" s="325">
        <f t="shared" si="13"/>
        <v>28425.449085000004</v>
      </c>
      <c r="G107" s="334">
        <f t="shared" si="14"/>
        <v>6636.4028069703445</v>
      </c>
      <c r="H107" s="96" t="s">
        <v>687</v>
      </c>
      <c r="I107" s="326">
        <v>1599553.3548879714</v>
      </c>
      <c r="J107" s="325">
        <f t="shared" si="17"/>
        <v>72513.981186385805</v>
      </c>
      <c r="K107" s="325">
        <f t="shared" si="12"/>
        <v>149650.05534872058</v>
      </c>
      <c r="L107" s="1"/>
    </row>
    <row r="108" spans="1:12" ht="14.5" x14ac:dyDescent="0.35">
      <c r="A108" s="169">
        <v>99</v>
      </c>
      <c r="B108" s="169">
        <v>2117</v>
      </c>
      <c r="C108" s="325">
        <v>0</v>
      </c>
      <c r="D108" s="325">
        <f t="shared" si="15"/>
        <v>34110.538902</v>
      </c>
      <c r="E108" s="325">
        <f t="shared" si="16"/>
        <v>7963.6833683644127</v>
      </c>
      <c r="F108" s="325">
        <f t="shared" si="13"/>
        <v>28425.449085000004</v>
      </c>
      <c r="G108" s="334">
        <f t="shared" si="14"/>
        <v>6636.4028069703445</v>
      </c>
      <c r="H108" s="96" t="s">
        <v>687</v>
      </c>
      <c r="I108" s="326">
        <v>1598543.8201143784</v>
      </c>
      <c r="J108" s="325">
        <f t="shared" si="17"/>
        <v>72468.215044634024</v>
      </c>
      <c r="K108" s="325">
        <f t="shared" si="12"/>
        <v>149604.2892069688</v>
      </c>
      <c r="L108" s="1"/>
    </row>
    <row r="109" spans="1:12" ht="14.5" x14ac:dyDescent="0.35">
      <c r="A109" s="523">
        <v>100</v>
      </c>
      <c r="B109" s="523">
        <v>2118</v>
      </c>
      <c r="C109" s="325">
        <v>0</v>
      </c>
      <c r="D109" s="325">
        <f t="shared" si="15"/>
        <v>34110.538902</v>
      </c>
      <c r="E109" s="325">
        <f t="shared" si="16"/>
        <v>7963.6833683644127</v>
      </c>
      <c r="F109" s="334">
        <f t="shared" si="13"/>
        <v>28425.449085000004</v>
      </c>
      <c r="G109" s="334">
        <f t="shared" si="14"/>
        <v>6636.4028069703445</v>
      </c>
      <c r="H109" s="96" t="s">
        <v>687</v>
      </c>
      <c r="I109" s="524">
        <v>1597551.7835191644</v>
      </c>
      <c r="J109" s="325">
        <f t="shared" si="17"/>
        <v>72423.242163434581</v>
      </c>
      <c r="K109" s="325">
        <f t="shared" si="12"/>
        <v>149559.31632576935</v>
      </c>
      <c r="L109" s="7"/>
    </row>
    <row r="110" spans="1:12" x14ac:dyDescent="0.3">
      <c r="A110" s="686" t="s">
        <v>55</v>
      </c>
      <c r="B110" s="686"/>
      <c r="C110" s="525">
        <f>SUM(C10:C109)</f>
        <v>959861</v>
      </c>
      <c r="D110" s="525">
        <f t="shared" ref="D110:K110" si="18">SUM(D10:D109)</f>
        <v>2933506.3455720041</v>
      </c>
      <c r="E110" s="525">
        <f t="shared" si="18"/>
        <v>684876.7696793403</v>
      </c>
      <c r="F110" s="525">
        <f t="shared" si="18"/>
        <v>2444588.6213099984</v>
      </c>
      <c r="G110" s="525">
        <f t="shared" si="18"/>
        <v>570730.64139944955</v>
      </c>
      <c r="H110" s="525">
        <f t="shared" si="18"/>
        <v>0</v>
      </c>
      <c r="I110" s="526">
        <f t="shared" si="18"/>
        <v>145990463.52750653</v>
      </c>
      <c r="J110" s="525">
        <f t="shared" si="18"/>
        <v>6618316.1026015282</v>
      </c>
      <c r="K110" s="525">
        <f t="shared" si="18"/>
        <v>14211879.480562314</v>
      </c>
      <c r="L110" s="7"/>
    </row>
    <row r="111" spans="1:12" x14ac:dyDescent="0.3">
      <c r="A111" s="612" t="s">
        <v>67</v>
      </c>
      <c r="B111" s="612"/>
      <c r="C111" s="612"/>
      <c r="D111" s="612"/>
      <c r="E111" s="612"/>
      <c r="F111" s="612"/>
      <c r="G111" s="612"/>
      <c r="H111" s="613"/>
      <c r="I111" s="612"/>
      <c r="J111" s="612"/>
      <c r="K111" s="612"/>
    </row>
    <row r="112" spans="1:12" s="527" customFormat="1" ht="15" customHeight="1" x14ac:dyDescent="0.3">
      <c r="A112" s="614" t="s">
        <v>700</v>
      </c>
      <c r="B112" s="614"/>
      <c r="C112" s="614"/>
      <c r="D112" s="614"/>
      <c r="E112" s="614"/>
      <c r="F112" s="614"/>
      <c r="G112" s="614"/>
      <c r="H112" s="615"/>
      <c r="I112" s="614"/>
      <c r="J112" s="614"/>
      <c r="K112" s="614"/>
      <c r="L112" s="443"/>
    </row>
    <row r="113" spans="1:12" ht="27" customHeight="1" x14ac:dyDescent="0.3">
      <c r="A113" s="705" t="s">
        <v>701</v>
      </c>
      <c r="B113" s="705"/>
      <c r="C113" s="705"/>
      <c r="D113" s="705"/>
      <c r="E113" s="705"/>
      <c r="F113" s="705"/>
      <c r="G113" s="705"/>
      <c r="H113" s="705"/>
      <c r="I113" s="705"/>
      <c r="J113" s="705"/>
      <c r="K113" s="705"/>
      <c r="L113" s="119"/>
    </row>
    <row r="114" spans="1:12" ht="27" customHeight="1" x14ac:dyDescent="0.3">
      <c r="A114" s="705" t="s">
        <v>702</v>
      </c>
      <c r="B114" s="705"/>
      <c r="C114" s="705"/>
      <c r="D114" s="705"/>
      <c r="E114" s="705"/>
      <c r="F114" s="705"/>
      <c r="G114" s="705"/>
      <c r="H114" s="705"/>
      <c r="I114" s="705"/>
      <c r="J114" s="705"/>
      <c r="K114" s="705"/>
      <c r="L114" s="119"/>
    </row>
    <row r="115" spans="1:12" ht="15" customHeight="1" x14ac:dyDescent="0.3">
      <c r="A115" s="704" t="s">
        <v>703</v>
      </c>
      <c r="B115" s="704"/>
      <c r="C115" s="704"/>
      <c r="D115" s="704"/>
      <c r="E115" s="704"/>
      <c r="F115" s="704"/>
      <c r="G115" s="704"/>
      <c r="H115" s="704"/>
      <c r="I115" s="704"/>
      <c r="J115" s="704"/>
      <c r="K115" s="704"/>
    </row>
    <row r="116" spans="1:12" ht="25" customHeight="1" x14ac:dyDescent="0.3">
      <c r="A116" s="704" t="s">
        <v>704</v>
      </c>
      <c r="B116" s="704"/>
      <c r="C116" s="704"/>
      <c r="D116" s="704"/>
      <c r="E116" s="704"/>
      <c r="F116" s="704"/>
      <c r="G116" s="704"/>
      <c r="H116" s="704"/>
      <c r="I116" s="704"/>
      <c r="J116" s="704"/>
      <c r="K116" s="704"/>
    </row>
    <row r="117" spans="1:12" ht="15" customHeight="1" x14ac:dyDescent="0.3">
      <c r="A117" s="612" t="s">
        <v>82</v>
      </c>
      <c r="B117" s="616"/>
      <c r="C117" s="616"/>
      <c r="D117" s="616"/>
      <c r="E117" s="616"/>
      <c r="F117" s="616"/>
      <c r="G117" s="616"/>
      <c r="H117" s="616"/>
      <c r="I117" s="616"/>
      <c r="J117" s="612"/>
      <c r="K117" s="612"/>
    </row>
    <row r="118" spans="1:12" ht="15" customHeight="1" x14ac:dyDescent="0.3">
      <c r="A118" s="612" t="s">
        <v>83</v>
      </c>
      <c r="B118" s="612"/>
      <c r="C118" s="612"/>
      <c r="D118" s="612"/>
      <c r="E118" s="612"/>
      <c r="F118" s="612"/>
      <c r="G118" s="612"/>
      <c r="H118" s="613"/>
      <c r="I118" s="612"/>
      <c r="J118" s="612"/>
      <c r="K118" s="612"/>
    </row>
    <row r="119" spans="1:12" x14ac:dyDescent="0.3">
      <c r="D119" s="192">
        <v>5456610.2294712439</v>
      </c>
      <c r="E119" s="192">
        <v>613273.62617813016</v>
      </c>
      <c r="F119" s="192">
        <f>SUM(D119:E119)</f>
        <v>6069883.8556493744</v>
      </c>
    </row>
    <row r="120" spans="1:12" x14ac:dyDescent="0.3">
      <c r="D120" s="529"/>
      <c r="E120" s="529"/>
      <c r="F120" s="192">
        <f>SUM(D110:E110)-F119</f>
        <v>-2451500.7403980298</v>
      </c>
    </row>
    <row r="122" spans="1:12" x14ac:dyDescent="0.3">
      <c r="D122" s="192" t="s">
        <v>0</v>
      </c>
      <c r="E122" s="192" t="s">
        <v>0</v>
      </c>
      <c r="F122" s="192" t="s">
        <v>0</v>
      </c>
    </row>
  </sheetData>
  <sheetProtection algorithmName="SHA-512" hashValue="4ZqEM8JNq2wbr6iId5pkIo2bMgWBb1s+VxfrkttwRzG14aTr2QvIWb9yI47pcR/V/5IY/yXmmU971DQtXtHIpg==" saltValue="MirWVseEaBP9bALkyO1dLw==" spinCount="100000" sheet="1" objects="1" scenarios="1"/>
  <mergeCells count="10">
    <mergeCell ref="A116:K116"/>
    <mergeCell ref="A115:K115"/>
    <mergeCell ref="A114:K114"/>
    <mergeCell ref="J2:K2"/>
    <mergeCell ref="A110:B110"/>
    <mergeCell ref="A113:K113"/>
    <mergeCell ref="A4:B4"/>
    <mergeCell ref="A5:B5"/>
    <mergeCell ref="A6:B6"/>
    <mergeCell ref="A7:B7"/>
  </mergeCells>
  <pageMargins left="0.7" right="0.7" top="0.75" bottom="0.75" header="0.6" footer="0.3"/>
  <pageSetup paperSize="17" scale="52" fitToHeight="0" orientation="portrait" horizontalDpi="1200" verticalDpi="1200" r:id="rId1"/>
  <headerFooter scaleWithDoc="0">
    <oddFooter>&amp;R&amp;"Arial,Regular"&amp;8&amp;P of 3</oddFooter>
  </headerFooter>
  <rowBreaks count="1" manualBreakCount="1">
    <brk id="8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P116"/>
  <sheetViews>
    <sheetView view="pageBreakPreview" zoomScaleNormal="85" zoomScaleSheetLayoutView="100" workbookViewId="0">
      <pane ySplit="10" topLeftCell="A53" activePane="bottomLeft" state="frozen"/>
      <selection activeCell="I44" sqref="I44"/>
      <selection pane="bottomLeft" activeCell="I28" sqref="I28"/>
    </sheetView>
  </sheetViews>
  <sheetFormatPr defaultColWidth="9.26953125" defaultRowHeight="12.5" x14ac:dyDescent="0.25"/>
  <cols>
    <col min="1" max="2" width="18.54296875" style="91" customWidth="1"/>
    <col min="3" max="3" width="14" style="91" customWidth="1"/>
    <col min="4" max="4" width="13.26953125" style="91" customWidth="1"/>
    <col min="5" max="5" width="15.26953125" style="91" customWidth="1"/>
    <col min="6" max="6" width="13.36328125" style="91" customWidth="1"/>
    <col min="7" max="7" width="13.54296875" style="91" customWidth="1"/>
    <col min="8" max="8" width="13.7265625" style="91" customWidth="1"/>
    <col min="9" max="9" width="12.36328125" style="91" customWidth="1"/>
    <col min="10" max="10" width="12.7265625" style="91" customWidth="1"/>
    <col min="11" max="11" width="13" style="91" customWidth="1"/>
    <col min="12" max="12" width="15.26953125" style="91" customWidth="1"/>
    <col min="13" max="16384" width="9.26953125" style="91"/>
  </cols>
  <sheetData>
    <row r="1" spans="1:16" x14ac:dyDescent="0.25">
      <c r="A1" s="452"/>
      <c r="B1" s="452"/>
      <c r="C1" s="452"/>
      <c r="D1" s="452"/>
      <c r="E1" s="452"/>
      <c r="F1" s="452"/>
      <c r="G1" s="93"/>
      <c r="H1" s="452"/>
      <c r="I1" s="452"/>
      <c r="J1" s="452"/>
      <c r="K1" s="452"/>
      <c r="L1" s="452"/>
      <c r="M1" s="452"/>
      <c r="N1" s="452"/>
      <c r="O1" s="452"/>
      <c r="P1" s="452"/>
    </row>
    <row r="2" spans="1:16" x14ac:dyDescent="0.25">
      <c r="A2" s="452"/>
      <c r="B2" s="452"/>
      <c r="C2" s="452"/>
      <c r="D2" s="452"/>
      <c r="E2" s="452"/>
      <c r="F2" s="452"/>
      <c r="G2" s="93"/>
      <c r="H2" s="452"/>
      <c r="I2" s="452"/>
      <c r="J2" s="452"/>
      <c r="K2" s="452"/>
      <c r="L2" s="452"/>
      <c r="M2" s="452"/>
      <c r="N2" s="452"/>
      <c r="O2" s="452"/>
      <c r="P2" s="452"/>
    </row>
    <row r="3" spans="1:16" ht="26.25" customHeight="1" x14ac:dyDescent="0.35">
      <c r="A3" s="3"/>
      <c r="B3" s="3"/>
      <c r="C3" s="3"/>
      <c r="D3" s="3"/>
      <c r="E3" s="3"/>
      <c r="F3" s="270"/>
      <c r="G3" s="452"/>
      <c r="H3" s="452"/>
      <c r="I3" s="452"/>
      <c r="J3" s="452"/>
      <c r="K3" s="706" t="s">
        <v>10</v>
      </c>
      <c r="L3" s="706"/>
      <c r="M3" s="452"/>
      <c r="N3" s="452"/>
      <c r="O3" s="112"/>
      <c r="P3" s="105"/>
    </row>
    <row r="4" spans="1:16" ht="13" x14ac:dyDescent="0.3">
      <c r="A4" s="451" t="s">
        <v>1</v>
      </c>
      <c r="B4" s="118" t="str">
        <f>'2019 CCP Summary'!B4</f>
        <v>REV 0 July 29, 2019</v>
      </c>
      <c r="C4" s="452"/>
      <c r="D4" s="118"/>
      <c r="E4" s="4"/>
      <c r="F4" s="452"/>
      <c r="G4" s="452"/>
      <c r="H4" s="452"/>
      <c r="I4" s="452"/>
      <c r="J4" s="452"/>
      <c r="K4" s="390" t="s">
        <v>68</v>
      </c>
      <c r="L4" s="391">
        <f>'TTS Capital Cost'!I80</f>
        <v>7232445.0002545901</v>
      </c>
      <c r="M4" s="452"/>
      <c r="N4" s="452"/>
      <c r="O4" s="5"/>
      <c r="P4" s="22"/>
    </row>
    <row r="5" spans="1:16" ht="13" x14ac:dyDescent="0.3">
      <c r="A5" s="453" t="s">
        <v>2</v>
      </c>
      <c r="B5" s="461">
        <f>'2019 CCP Summary'!B5</f>
        <v>18106417</v>
      </c>
      <c r="C5" s="452"/>
      <c r="D5" s="6"/>
      <c r="E5" s="7"/>
      <c r="F5" s="452"/>
      <c r="G5" s="452"/>
      <c r="H5" s="452"/>
      <c r="I5" s="452"/>
      <c r="J5" s="452"/>
      <c r="K5" s="390" t="s">
        <v>69</v>
      </c>
      <c r="L5" s="392">
        <v>1.4999999999999999E-2</v>
      </c>
      <c r="M5" s="452"/>
      <c r="N5" s="452"/>
      <c r="O5" s="5"/>
      <c r="P5" s="22"/>
    </row>
    <row r="6" spans="1:16" ht="13" x14ac:dyDescent="0.3">
      <c r="A6" s="453" t="s">
        <v>3</v>
      </c>
      <c r="B6" s="6" t="s">
        <v>131</v>
      </c>
      <c r="C6" s="452"/>
      <c r="D6" s="6"/>
      <c r="E6" s="8"/>
      <c r="F6" s="452"/>
      <c r="G6" s="452"/>
      <c r="H6" s="452"/>
      <c r="I6" s="452"/>
      <c r="J6" s="452"/>
      <c r="K6" s="390" t="s">
        <v>71</v>
      </c>
      <c r="L6" s="392">
        <f>'TTS O&amp;M Input'!C38</f>
        <v>1.4999999999999999E-2</v>
      </c>
      <c r="M6" s="452"/>
      <c r="N6" s="452"/>
      <c r="O6" s="5"/>
      <c r="P6" s="22"/>
    </row>
    <row r="7" spans="1:16" ht="13" x14ac:dyDescent="0.3">
      <c r="A7" s="454" t="s">
        <v>5</v>
      </c>
      <c r="B7" s="460" t="str">
        <f>'2019 CCP Summary'!B7</f>
        <v>Tyrone Mine Closure Closeout Plan</v>
      </c>
      <c r="C7" s="452"/>
      <c r="D7" s="6"/>
      <c r="E7" s="8"/>
      <c r="F7" s="452"/>
      <c r="G7" s="452"/>
      <c r="H7" s="452"/>
      <c r="I7" s="452"/>
      <c r="J7" s="447"/>
      <c r="K7" s="448" t="s">
        <v>72</v>
      </c>
      <c r="L7" s="553">
        <v>4.4694352896556322E-2</v>
      </c>
      <c r="M7" s="452"/>
      <c r="N7" s="452"/>
      <c r="O7" s="679"/>
      <c r="P7" s="679"/>
    </row>
    <row r="8" spans="1:16" ht="13" x14ac:dyDescent="0.3">
      <c r="A8" s="103"/>
      <c r="B8" s="103"/>
      <c r="C8" s="101"/>
      <c r="D8" s="101"/>
      <c r="E8" s="101"/>
      <c r="F8" s="101"/>
      <c r="G8" s="101"/>
      <c r="H8" s="101"/>
      <c r="I8" s="101"/>
      <c r="J8" s="101"/>
      <c r="K8" s="448" t="s">
        <v>73</v>
      </c>
      <c r="L8" s="553">
        <v>4.5333893342660331E-2</v>
      </c>
      <c r="M8" s="452"/>
      <c r="N8" s="452"/>
      <c r="O8" s="452"/>
      <c r="P8" s="452"/>
    </row>
    <row r="9" spans="1:16" ht="13" x14ac:dyDescent="0.3">
      <c r="A9" s="709" t="s">
        <v>50</v>
      </c>
      <c r="B9" s="710" t="s">
        <v>56</v>
      </c>
      <c r="C9" s="710" t="s">
        <v>132</v>
      </c>
      <c r="D9" s="711" t="s">
        <v>133</v>
      </c>
      <c r="E9" s="711" t="s">
        <v>134</v>
      </c>
      <c r="F9" s="709" t="s">
        <v>135</v>
      </c>
      <c r="G9" s="709"/>
      <c r="H9" s="709"/>
      <c r="I9" s="709"/>
      <c r="J9" s="712" t="s">
        <v>136</v>
      </c>
      <c r="K9" s="709" t="s">
        <v>57</v>
      </c>
      <c r="L9" s="708" t="s">
        <v>81</v>
      </c>
      <c r="M9" s="452"/>
      <c r="N9" s="452"/>
      <c r="O9" s="452"/>
      <c r="P9" s="452"/>
    </row>
    <row r="10" spans="1:16" ht="26" x14ac:dyDescent="0.3">
      <c r="A10" s="709"/>
      <c r="B10" s="710"/>
      <c r="C10" s="710"/>
      <c r="D10" s="711"/>
      <c r="E10" s="711"/>
      <c r="F10" s="232" t="s">
        <v>137</v>
      </c>
      <c r="G10" s="233" t="s">
        <v>138</v>
      </c>
      <c r="H10" s="234" t="s">
        <v>139</v>
      </c>
      <c r="I10" s="234" t="s">
        <v>140</v>
      </c>
      <c r="J10" s="712"/>
      <c r="K10" s="709"/>
      <c r="L10" s="708"/>
      <c r="M10" s="452"/>
      <c r="N10" s="452"/>
      <c r="O10" s="452"/>
      <c r="P10" s="452"/>
    </row>
    <row r="11" spans="1:16" x14ac:dyDescent="0.25">
      <c r="A11" s="113">
        <v>1</v>
      </c>
      <c r="B11" s="114">
        <v>0</v>
      </c>
      <c r="C11" s="114">
        <v>0</v>
      </c>
      <c r="D11" s="114">
        <v>0</v>
      </c>
      <c r="E11" s="114">
        <v>0</v>
      </c>
      <c r="F11" s="114">
        <f>'TTS O&amp;M Input'!$C$10*'TTS Calculation Summary'!Y11</f>
        <v>0</v>
      </c>
      <c r="G11" s="114">
        <f>'TTS Calculation Summary'!AA11*2000*'TTS O&amp;M Input'!$C$11</f>
        <v>0</v>
      </c>
      <c r="H11" s="114">
        <f>'TTS Calculation Summary'!AC11*2000*'TTS O&amp;M Input'!$C$12</f>
        <v>0</v>
      </c>
      <c r="I11" s="114">
        <f>'TTS Calculation Summary'!AD11*'TTS O&amp;M Input'!$C$18+'TTS Calculation Summary'!AE11*'TTS O&amp;M Input'!$C$17+'TTS Calculation Summary'!AF11*'TTS O&amp;M Input'!$C$13+'TTS Calculation Summary'!AH11*'TTS O&amp;M Input'!$C$15+'TTS Calculation Summary'!AI11*'TTS O&amp;M Input'!$C$16+'TTS Calculation Summary'!AG11*'TTS O&amp;M Input'!$C$14</f>
        <v>0</v>
      </c>
      <c r="J11" s="442">
        <f>'TTS Analytical Costs'!P12</f>
        <v>3224</v>
      </c>
      <c r="K11" s="114">
        <f>'TTS Calculation Summary'!AL11*$L$7</f>
        <v>0</v>
      </c>
      <c r="L11" s="115">
        <f>SUM(B11:K11)</f>
        <v>3224</v>
      </c>
      <c r="M11" s="452"/>
      <c r="N11" s="452"/>
      <c r="O11" s="452"/>
      <c r="P11" s="452"/>
    </row>
    <row r="12" spans="1:16" x14ac:dyDescent="0.25">
      <c r="A12" s="113">
        <v>2</v>
      </c>
      <c r="B12" s="114">
        <v>0</v>
      </c>
      <c r="C12" s="114">
        <v>0</v>
      </c>
      <c r="D12" s="114">
        <v>0</v>
      </c>
      <c r="E12" s="114">
        <v>0</v>
      </c>
      <c r="F12" s="114">
        <f>'TTS O&amp;M Input'!$C$10*'TTS Calculation Summary'!Y12</f>
        <v>0</v>
      </c>
      <c r="G12" s="114">
        <f>'TTS Calculation Summary'!AA12*2000*'TTS O&amp;M Input'!$C$11</f>
        <v>0</v>
      </c>
      <c r="H12" s="114">
        <f>'TTS Calculation Summary'!AC12*2000*'TTS O&amp;M Input'!$C$12</f>
        <v>0</v>
      </c>
      <c r="I12" s="114">
        <f>'TTS Calculation Summary'!AD12*'TTS O&amp;M Input'!$C$18+'TTS Calculation Summary'!AE12*'TTS O&amp;M Input'!$C$17+'TTS Calculation Summary'!AF12*'TTS O&amp;M Input'!$C$13+'TTS Calculation Summary'!AH12*'TTS O&amp;M Input'!$C$15+'TTS Calculation Summary'!AI12*'TTS O&amp;M Input'!$C$16+'TTS Calculation Summary'!AG12*'TTS O&amp;M Input'!$C$14</f>
        <v>0</v>
      </c>
      <c r="J12" s="442">
        <f>'TTS Analytical Costs'!P13</f>
        <v>3224</v>
      </c>
      <c r="K12" s="114">
        <f>'TTS Calculation Summary'!AL12*$L$7</f>
        <v>0</v>
      </c>
      <c r="L12" s="115">
        <f t="shared" ref="L12:L75" si="0">SUM(B12:K12)</f>
        <v>3224</v>
      </c>
      <c r="M12" s="452"/>
      <c r="N12" s="452"/>
      <c r="O12" s="452"/>
      <c r="P12" s="452"/>
    </row>
    <row r="13" spans="1:16" x14ac:dyDescent="0.25">
      <c r="A13" s="113">
        <v>3</v>
      </c>
      <c r="B13" s="114">
        <v>0</v>
      </c>
      <c r="C13" s="114">
        <v>0</v>
      </c>
      <c r="D13" s="114">
        <v>0</v>
      </c>
      <c r="E13" s="114">
        <v>0</v>
      </c>
      <c r="F13" s="114">
        <f>'TTS O&amp;M Input'!$C$10*'TTS Calculation Summary'!Y13</f>
        <v>0</v>
      </c>
      <c r="G13" s="114">
        <f>'TTS Calculation Summary'!AA13*2000*'TTS O&amp;M Input'!$C$11</f>
        <v>0</v>
      </c>
      <c r="H13" s="114">
        <f>'TTS Calculation Summary'!AC13*2000*'TTS O&amp;M Input'!$C$12</f>
        <v>0</v>
      </c>
      <c r="I13" s="114">
        <f>'TTS Calculation Summary'!AD13*'TTS O&amp;M Input'!$C$18+'TTS Calculation Summary'!AE13*'TTS O&amp;M Input'!$C$17+'TTS Calculation Summary'!AF13*'TTS O&amp;M Input'!$C$13+'TTS Calculation Summary'!AH13*'TTS O&amp;M Input'!$C$15+'TTS Calculation Summary'!AI13*'TTS O&amp;M Input'!$C$16+'TTS Calculation Summary'!AG13*'TTS O&amp;M Input'!$C$14</f>
        <v>0</v>
      </c>
      <c r="J13" s="442">
        <f>'TTS Analytical Costs'!P14</f>
        <v>3224</v>
      </c>
      <c r="K13" s="114">
        <f>'TTS Calculation Summary'!AL13*$L$7</f>
        <v>0</v>
      </c>
      <c r="L13" s="115">
        <f t="shared" si="0"/>
        <v>3224</v>
      </c>
      <c r="M13" s="452"/>
      <c r="N13" s="452"/>
      <c r="O13" s="452"/>
      <c r="P13" s="452"/>
    </row>
    <row r="14" spans="1:16" x14ac:dyDescent="0.25">
      <c r="A14" s="113">
        <v>4</v>
      </c>
      <c r="B14" s="114">
        <v>0</v>
      </c>
      <c r="C14" s="114">
        <v>0</v>
      </c>
      <c r="D14" s="114">
        <v>0</v>
      </c>
      <c r="E14" s="114">
        <v>0</v>
      </c>
      <c r="F14" s="114">
        <f>'TTS O&amp;M Input'!$C$10*'TTS Calculation Summary'!Y14</f>
        <v>0</v>
      </c>
      <c r="G14" s="114">
        <f>'TTS Calculation Summary'!AA14*2000*'TTS O&amp;M Input'!$C$11</f>
        <v>0</v>
      </c>
      <c r="H14" s="114">
        <f>'TTS Calculation Summary'!AC14*2000*'TTS O&amp;M Input'!$C$12</f>
        <v>0</v>
      </c>
      <c r="I14" s="114">
        <f>'TTS Calculation Summary'!AD14*'TTS O&amp;M Input'!$C$18+'TTS Calculation Summary'!AE14*'TTS O&amp;M Input'!$C$17+'TTS Calculation Summary'!AF14*'TTS O&amp;M Input'!$C$13+'TTS Calculation Summary'!AH14*'TTS O&amp;M Input'!$C$15+'TTS Calculation Summary'!AI14*'TTS O&amp;M Input'!$C$16+'TTS Calculation Summary'!AG14*'TTS O&amp;M Input'!$C$14</f>
        <v>0</v>
      </c>
      <c r="J14" s="442">
        <f>'TTS Analytical Costs'!P15</f>
        <v>3224</v>
      </c>
      <c r="K14" s="114">
        <f>'TTS Calculation Summary'!AL14*$L$7</f>
        <v>0</v>
      </c>
      <c r="L14" s="115">
        <f t="shared" si="0"/>
        <v>3224</v>
      </c>
      <c r="M14" s="452"/>
      <c r="N14" s="452"/>
      <c r="O14" s="452"/>
      <c r="P14" s="452"/>
    </row>
    <row r="15" spans="1:16" x14ac:dyDescent="0.25">
      <c r="A15" s="113">
        <v>5</v>
      </c>
      <c r="B15" s="114">
        <v>0</v>
      </c>
      <c r="C15" s="114">
        <v>0</v>
      </c>
      <c r="D15" s="114">
        <v>0</v>
      </c>
      <c r="E15" s="114">
        <v>0</v>
      </c>
      <c r="F15" s="114">
        <f>'TTS O&amp;M Input'!$C$10*'TTS Calculation Summary'!Y15</f>
        <v>0</v>
      </c>
      <c r="G15" s="114">
        <f>'TTS Calculation Summary'!AA15*2000*'TTS O&amp;M Input'!$C$11</f>
        <v>0</v>
      </c>
      <c r="H15" s="114">
        <f>'TTS Calculation Summary'!AC15*2000*'TTS O&amp;M Input'!$C$12</f>
        <v>0</v>
      </c>
      <c r="I15" s="114">
        <f>'TTS Calculation Summary'!AD15*'TTS O&amp;M Input'!$C$18+'TTS Calculation Summary'!AE15*'TTS O&amp;M Input'!$C$17+'TTS Calculation Summary'!AF15*'TTS O&amp;M Input'!$C$13+'TTS Calculation Summary'!AH15*'TTS O&amp;M Input'!$C$15+'TTS Calculation Summary'!AI15*'TTS O&amp;M Input'!$C$16+'TTS Calculation Summary'!AG15*'TTS O&amp;M Input'!$C$14</f>
        <v>0</v>
      </c>
      <c r="J15" s="442">
        <f>'TTS Analytical Costs'!P16</f>
        <v>3224</v>
      </c>
      <c r="K15" s="114">
        <f>'TTS Calculation Summary'!AL15*$L$7</f>
        <v>0</v>
      </c>
      <c r="L15" s="115">
        <f t="shared" si="0"/>
        <v>3224</v>
      </c>
      <c r="M15" s="452"/>
      <c r="N15" s="452"/>
      <c r="O15" s="452"/>
      <c r="P15" s="452"/>
    </row>
    <row r="16" spans="1:16" x14ac:dyDescent="0.25">
      <c r="A16" s="113">
        <v>6</v>
      </c>
      <c r="B16" s="114">
        <v>0</v>
      </c>
      <c r="C16" s="114">
        <v>0</v>
      </c>
      <c r="D16" s="114">
        <v>0</v>
      </c>
      <c r="E16" s="114">
        <v>0</v>
      </c>
      <c r="F16" s="114">
        <f>'TTS O&amp;M Input'!$C$10*'TTS Calculation Summary'!Y16</f>
        <v>0</v>
      </c>
      <c r="G16" s="114">
        <f>'TTS Calculation Summary'!AA16*2000*'TTS O&amp;M Input'!$C$11</f>
        <v>0</v>
      </c>
      <c r="H16" s="114">
        <f>'TTS Calculation Summary'!AC16*2000*'TTS O&amp;M Input'!$C$12</f>
        <v>0</v>
      </c>
      <c r="I16" s="114">
        <f>'TTS Calculation Summary'!AD16*'TTS O&amp;M Input'!$C$18+'TTS Calculation Summary'!AE16*'TTS O&amp;M Input'!$C$17+'TTS Calculation Summary'!AF16*'TTS O&amp;M Input'!$C$13+'TTS Calculation Summary'!AH16*'TTS O&amp;M Input'!$C$15+'TTS Calculation Summary'!AI16*'TTS O&amp;M Input'!$C$16+'TTS Calculation Summary'!AG16*'TTS O&amp;M Input'!$C$14</f>
        <v>0</v>
      </c>
      <c r="J16" s="442">
        <f>'TTS Analytical Costs'!P17</f>
        <v>3224</v>
      </c>
      <c r="K16" s="114">
        <f>'TTS Calculation Summary'!AL16*$L$7</f>
        <v>0</v>
      </c>
      <c r="L16" s="115">
        <f t="shared" si="0"/>
        <v>3224</v>
      </c>
      <c r="M16" s="452"/>
      <c r="N16" s="452"/>
      <c r="O16" s="452"/>
      <c r="P16" s="452"/>
    </row>
    <row r="17" spans="1:12" x14ac:dyDescent="0.25">
      <c r="A17" s="113">
        <v>7</v>
      </c>
      <c r="B17" s="114">
        <v>0</v>
      </c>
      <c r="C17" s="114">
        <v>0</v>
      </c>
      <c r="D17" s="114">
        <v>0</v>
      </c>
      <c r="E17" s="114">
        <v>0</v>
      </c>
      <c r="F17" s="114">
        <f>'TTS O&amp;M Input'!$C$10*'TTS Calculation Summary'!Y17</f>
        <v>0</v>
      </c>
      <c r="G17" s="114">
        <f>'TTS Calculation Summary'!AA17*2000*'TTS O&amp;M Input'!$C$11</f>
        <v>0</v>
      </c>
      <c r="H17" s="114">
        <f>'TTS Calculation Summary'!AC17*2000*'TTS O&amp;M Input'!$C$12</f>
        <v>0</v>
      </c>
      <c r="I17" s="114">
        <f>'TTS Calculation Summary'!AD17*'TTS O&amp;M Input'!$C$18+'TTS Calculation Summary'!AE17*'TTS O&amp;M Input'!$C$17+'TTS Calculation Summary'!AF17*'TTS O&amp;M Input'!$C$13+'TTS Calculation Summary'!AH17*'TTS O&amp;M Input'!$C$15+'TTS Calculation Summary'!AI17*'TTS O&amp;M Input'!$C$16+'TTS Calculation Summary'!AG17*'TTS O&amp;M Input'!$C$14</f>
        <v>0</v>
      </c>
      <c r="J17" s="442">
        <f>'TTS Analytical Costs'!P18</f>
        <v>3224</v>
      </c>
      <c r="K17" s="114">
        <f>'TTS Calculation Summary'!AL17*$L$8</f>
        <v>0</v>
      </c>
      <c r="L17" s="115">
        <f t="shared" si="0"/>
        <v>3224</v>
      </c>
    </row>
    <row r="18" spans="1:12" x14ac:dyDescent="0.25">
      <c r="A18" s="113">
        <v>8</v>
      </c>
      <c r="B18" s="114">
        <v>0</v>
      </c>
      <c r="C18" s="114">
        <v>0</v>
      </c>
      <c r="D18" s="114">
        <v>0</v>
      </c>
      <c r="E18" s="114">
        <v>0</v>
      </c>
      <c r="F18" s="114">
        <f>'TTS O&amp;M Input'!$C$10*'TTS Calculation Summary'!Y18</f>
        <v>0</v>
      </c>
      <c r="G18" s="114">
        <f>'TTS Calculation Summary'!AA18*2000*'TTS O&amp;M Input'!$C$11</f>
        <v>0</v>
      </c>
      <c r="H18" s="114">
        <f>'TTS Calculation Summary'!AC18*2000*'TTS O&amp;M Input'!$C$12</f>
        <v>0</v>
      </c>
      <c r="I18" s="114">
        <f>'TTS Calculation Summary'!AD18*'TTS O&amp;M Input'!$C$18+'TTS Calculation Summary'!AE18*'TTS O&amp;M Input'!$C$17+'TTS Calculation Summary'!AF18*'TTS O&amp;M Input'!$C$13+'TTS Calculation Summary'!AH18*'TTS O&amp;M Input'!$C$15+'TTS Calculation Summary'!AI18*'TTS O&amp;M Input'!$C$16+'TTS Calculation Summary'!AG18*'TTS O&amp;M Input'!$C$14</f>
        <v>0</v>
      </c>
      <c r="J18" s="442">
        <f>'TTS Analytical Costs'!P19</f>
        <v>3224</v>
      </c>
      <c r="K18" s="114">
        <f>'TTS Calculation Summary'!AL18*$L$8</f>
        <v>0</v>
      </c>
      <c r="L18" s="115">
        <f t="shared" si="0"/>
        <v>3224</v>
      </c>
    </row>
    <row r="19" spans="1:12" x14ac:dyDescent="0.25">
      <c r="A19" s="113">
        <v>9</v>
      </c>
      <c r="B19" s="114">
        <v>0</v>
      </c>
      <c r="C19" s="114">
        <v>0</v>
      </c>
      <c r="D19" s="114">
        <v>0</v>
      </c>
      <c r="E19" s="114">
        <v>0</v>
      </c>
      <c r="F19" s="114">
        <f>'TTS O&amp;M Input'!$C$10*'TTS Calculation Summary'!Y19</f>
        <v>0</v>
      </c>
      <c r="G19" s="114">
        <f>'TTS Calculation Summary'!AA19*2000*'TTS O&amp;M Input'!$C$11</f>
        <v>0</v>
      </c>
      <c r="H19" s="114">
        <f>'TTS Calculation Summary'!AC19*2000*'TTS O&amp;M Input'!$C$12</f>
        <v>0</v>
      </c>
      <c r="I19" s="114">
        <f>'TTS Calculation Summary'!AD19*'TTS O&amp;M Input'!$C$18+'TTS Calculation Summary'!AE19*'TTS O&amp;M Input'!$C$17+'TTS Calculation Summary'!AF19*'TTS O&amp;M Input'!$C$13+'TTS Calculation Summary'!AH19*'TTS O&amp;M Input'!$C$15+'TTS Calculation Summary'!AI19*'TTS O&amp;M Input'!$C$16+'TTS Calculation Summary'!AG19*'TTS O&amp;M Input'!$C$14</f>
        <v>0</v>
      </c>
      <c r="J19" s="442">
        <f>'TTS Analytical Costs'!P20</f>
        <v>3224</v>
      </c>
      <c r="K19" s="114">
        <f>'TTS Calculation Summary'!AL19*$L$8</f>
        <v>0</v>
      </c>
      <c r="L19" s="115">
        <f t="shared" si="0"/>
        <v>3224</v>
      </c>
    </row>
    <row r="20" spans="1:12" x14ac:dyDescent="0.25">
      <c r="A20" s="113">
        <v>10</v>
      </c>
      <c r="B20" s="114">
        <v>0</v>
      </c>
      <c r="C20" s="114">
        <v>0</v>
      </c>
      <c r="D20" s="114">
        <v>0</v>
      </c>
      <c r="E20" s="114">
        <v>0</v>
      </c>
      <c r="F20" s="114">
        <f>'TTS O&amp;M Input'!$C$10*'TTS Calculation Summary'!Y20</f>
        <v>0</v>
      </c>
      <c r="G20" s="114">
        <f>'TTS Calculation Summary'!AA20*2000*'TTS O&amp;M Input'!$C$11</f>
        <v>0</v>
      </c>
      <c r="H20" s="114">
        <f>'TTS Calculation Summary'!AC20*2000*'TTS O&amp;M Input'!$C$12</f>
        <v>0</v>
      </c>
      <c r="I20" s="114">
        <f>'TTS Calculation Summary'!AD20*'TTS O&amp;M Input'!$C$18+'TTS Calculation Summary'!AE20*'TTS O&amp;M Input'!$C$17+'TTS Calculation Summary'!AF20*'TTS O&amp;M Input'!$C$13+'TTS Calculation Summary'!AH20*'TTS O&amp;M Input'!$C$15+'TTS Calculation Summary'!AI20*'TTS O&amp;M Input'!$C$16+'TTS Calculation Summary'!AG20*'TTS O&amp;M Input'!$C$14</f>
        <v>0</v>
      </c>
      <c r="J20" s="442">
        <f>'TTS Analytical Costs'!P21</f>
        <v>3224</v>
      </c>
      <c r="K20" s="114">
        <f>'TTS Calculation Summary'!AL20*$L$8</f>
        <v>0</v>
      </c>
      <c r="L20" s="115">
        <f t="shared" si="0"/>
        <v>3224</v>
      </c>
    </row>
    <row r="21" spans="1:12" x14ac:dyDescent="0.25">
      <c r="A21" s="113">
        <v>11</v>
      </c>
      <c r="B21" s="114">
        <v>0</v>
      </c>
      <c r="C21" s="114">
        <v>0</v>
      </c>
      <c r="D21" s="114">
        <v>0</v>
      </c>
      <c r="E21" s="114">
        <v>0</v>
      </c>
      <c r="F21" s="114">
        <f>'TTS O&amp;M Input'!$C$10*'TTS Calculation Summary'!Y21</f>
        <v>0</v>
      </c>
      <c r="G21" s="114">
        <f>'TTS Calculation Summary'!AA21*2000*'TTS O&amp;M Input'!$C$11</f>
        <v>0</v>
      </c>
      <c r="H21" s="114">
        <f>'TTS Calculation Summary'!AC21*2000*'TTS O&amp;M Input'!$C$12</f>
        <v>0</v>
      </c>
      <c r="I21" s="114">
        <f>'TTS Calculation Summary'!AD21*'TTS O&amp;M Input'!$C$18+'TTS Calculation Summary'!AE21*'TTS O&amp;M Input'!$C$17+'TTS Calculation Summary'!AF21*'TTS O&amp;M Input'!$C$13+'TTS Calculation Summary'!AH21*'TTS O&amp;M Input'!$C$15+'TTS Calculation Summary'!AI21*'TTS O&amp;M Input'!$C$16+'TTS Calculation Summary'!AG21*'TTS O&amp;M Input'!$C$14</f>
        <v>0</v>
      </c>
      <c r="J21" s="442">
        <f>'TTS Analytical Costs'!P22</f>
        <v>3224</v>
      </c>
      <c r="K21" s="114">
        <f>'TTS Calculation Summary'!AL21*$L$8</f>
        <v>0</v>
      </c>
      <c r="L21" s="115">
        <f t="shared" si="0"/>
        <v>3224</v>
      </c>
    </row>
    <row r="22" spans="1:12" x14ac:dyDescent="0.25">
      <c r="A22" s="113">
        <v>12</v>
      </c>
      <c r="B22" s="114">
        <v>0</v>
      </c>
      <c r="C22" s="114">
        <v>0</v>
      </c>
      <c r="D22" s="114">
        <v>0</v>
      </c>
      <c r="E22" s="114">
        <v>0</v>
      </c>
      <c r="F22" s="114">
        <f>'TTS O&amp;M Input'!$C$10*'TTS Calculation Summary'!Y22</f>
        <v>0</v>
      </c>
      <c r="G22" s="114">
        <f>'TTS Calculation Summary'!AA22*2000*'TTS O&amp;M Input'!$C$11</f>
        <v>0</v>
      </c>
      <c r="H22" s="114">
        <f>'TTS Calculation Summary'!AC22*2000*'TTS O&amp;M Input'!$C$12</f>
        <v>0</v>
      </c>
      <c r="I22" s="114">
        <f>'TTS Calculation Summary'!AD22*'TTS O&amp;M Input'!$C$18+'TTS Calculation Summary'!AE22*'TTS O&amp;M Input'!$C$17+'TTS Calculation Summary'!AF22*'TTS O&amp;M Input'!$C$13+'TTS Calculation Summary'!AH22*'TTS O&amp;M Input'!$C$15+'TTS Calculation Summary'!AI22*'TTS O&amp;M Input'!$C$16+'TTS Calculation Summary'!AG22*'TTS O&amp;M Input'!$C$14</f>
        <v>0</v>
      </c>
      <c r="J22" s="442">
        <f>'TTS Analytical Costs'!P23</f>
        <v>3224</v>
      </c>
      <c r="K22" s="114">
        <f>'TTS Calculation Summary'!AL22*$L$8</f>
        <v>0</v>
      </c>
      <c r="L22" s="115">
        <f t="shared" si="0"/>
        <v>3224</v>
      </c>
    </row>
    <row r="23" spans="1:12" x14ac:dyDescent="0.25">
      <c r="A23" s="113">
        <v>13</v>
      </c>
      <c r="B23" s="114">
        <v>0</v>
      </c>
      <c r="C23" s="114">
        <v>0</v>
      </c>
      <c r="D23" s="114">
        <v>0</v>
      </c>
      <c r="E23" s="114">
        <v>0</v>
      </c>
      <c r="F23" s="114">
        <f>'TTS O&amp;M Input'!$C$10*'TTS Calculation Summary'!Y23</f>
        <v>0</v>
      </c>
      <c r="G23" s="114">
        <f>'TTS Calculation Summary'!AA23*2000*'TTS O&amp;M Input'!$C$11</f>
        <v>0</v>
      </c>
      <c r="H23" s="114">
        <f>'TTS Calculation Summary'!AC23*2000*'TTS O&amp;M Input'!$C$12</f>
        <v>0</v>
      </c>
      <c r="I23" s="114">
        <f>'TTS Calculation Summary'!AD23*'TTS O&amp;M Input'!$C$18+'TTS Calculation Summary'!AE23*'TTS O&amp;M Input'!$C$17+'TTS Calculation Summary'!AF23*'TTS O&amp;M Input'!$C$13+'TTS Calculation Summary'!AH23*'TTS O&amp;M Input'!$C$15+'TTS Calculation Summary'!AI23*'TTS O&amp;M Input'!$C$16+'TTS Calculation Summary'!AG23*'TTS O&amp;M Input'!$C$14</f>
        <v>0</v>
      </c>
      <c r="J23" s="442">
        <f>'TTS Analytical Costs'!P24</f>
        <v>1612</v>
      </c>
      <c r="K23" s="114">
        <f>'TTS Calculation Summary'!AL23*$L$8</f>
        <v>0</v>
      </c>
      <c r="L23" s="115">
        <f t="shared" si="0"/>
        <v>1612</v>
      </c>
    </row>
    <row r="24" spans="1:12" x14ac:dyDescent="0.25">
      <c r="A24" s="113">
        <v>14</v>
      </c>
      <c r="B24" s="114">
        <f>'TTS Capital Cost'!I80</f>
        <v>7232445.0002545901</v>
      </c>
      <c r="C24" s="114">
        <v>0</v>
      </c>
      <c r="D24" s="114">
        <v>0</v>
      </c>
      <c r="E24" s="114">
        <v>0</v>
      </c>
      <c r="F24" s="114">
        <f>'TTS O&amp;M Input'!$C$10*'TTS Calculation Summary'!Y24</f>
        <v>0</v>
      </c>
      <c r="G24" s="114">
        <f>'TTS Calculation Summary'!AA24*2000*'TTS O&amp;M Input'!$C$11</f>
        <v>0</v>
      </c>
      <c r="H24" s="114">
        <f>'TTS Calculation Summary'!AC24*2000*'TTS O&amp;M Input'!$C$12</f>
        <v>0</v>
      </c>
      <c r="I24" s="114">
        <f>'TTS Calculation Summary'!AD24*'TTS O&amp;M Input'!$C$18+'TTS Calculation Summary'!AE24*'TTS O&amp;M Input'!$C$17+'TTS Calculation Summary'!AF24*'TTS O&amp;M Input'!$C$13+'TTS Calculation Summary'!AH24*'TTS O&amp;M Input'!$C$15+'TTS Calculation Summary'!AI24*'TTS O&amp;M Input'!$C$16+'TTS Calculation Summary'!AG24*'TTS O&amp;M Input'!$C$14</f>
        <v>0</v>
      </c>
      <c r="J24" s="442">
        <f>'TTS Analytical Costs'!P25</f>
        <v>1612</v>
      </c>
      <c r="K24" s="114">
        <f>'TTS Calculation Summary'!AL24*$L$8</f>
        <v>0</v>
      </c>
      <c r="L24" s="115">
        <f t="shared" si="0"/>
        <v>7234057.0002545901</v>
      </c>
    </row>
    <row r="25" spans="1:12" x14ac:dyDescent="0.25">
      <c r="A25" s="113">
        <v>15</v>
      </c>
      <c r="B25" s="114">
        <v>0</v>
      </c>
      <c r="C25" s="114">
        <f>IF('TTS Calculation Summary'!$V25&gt;150000,'TTS Labor'!$B$39,'TTS Labor'!$E$39)</f>
        <v>1213843.075</v>
      </c>
      <c r="D25" s="114">
        <f t="shared" ref="D25:D47" si="1">$L$4*$L$5</f>
        <v>108486.67500381885</v>
      </c>
      <c r="E25" s="114">
        <f t="shared" ref="E25:E47" si="2">$L$4*$L$6</f>
        <v>108486.67500381885</v>
      </c>
      <c r="F25" s="114">
        <f>'TTS O&amp;M Input'!$C$10*'TTS Calculation Summary'!Y25</f>
        <v>1055002.1745226386</v>
      </c>
      <c r="G25" s="114">
        <f>'TTS Calculation Summary'!AA25*2000*'TTS O&amp;M Input'!$C$11</f>
        <v>189396.76091655425</v>
      </c>
      <c r="H25" s="114">
        <f>'TTS Calculation Summary'!AC25*2000*'TTS O&amp;M Input'!$C$12</f>
        <v>4783.1698872995603</v>
      </c>
      <c r="I25" s="114">
        <f>'TTS Calculation Summary'!AD25*'TTS O&amp;M Input'!$C$18+'TTS Calculation Summary'!AE25*'TTS O&amp;M Input'!$C$17+'TTS Calculation Summary'!AF25*'TTS O&amp;M Input'!$C$13+'TTS Calculation Summary'!AH25*'TTS O&amp;M Input'!$C$15+'TTS Calculation Summary'!AI25*'TTS O&amp;M Input'!$C$16+'TTS Calculation Summary'!AG25*'TTS O&amp;M Input'!$C$14</f>
        <v>110388.27916002162</v>
      </c>
      <c r="J25" s="114">
        <f>'TTS Analytical Costs'!P26</f>
        <v>30628</v>
      </c>
      <c r="K25" s="114">
        <f>'TTS Calculation Summary'!AL25*$L$8</f>
        <v>71344.803305040288</v>
      </c>
      <c r="L25" s="115">
        <f t="shared" si="0"/>
        <v>2892359.6127991923</v>
      </c>
    </row>
    <row r="26" spans="1:12" x14ac:dyDescent="0.25">
      <c r="A26" s="113">
        <v>16</v>
      </c>
      <c r="B26" s="114">
        <v>0</v>
      </c>
      <c r="C26" s="114">
        <f>IF('TTS Calculation Summary'!$V26&gt;150000,'TTS Labor'!$B$39,'TTS Labor'!$E$39)</f>
        <v>1213843.075</v>
      </c>
      <c r="D26" s="114">
        <f t="shared" si="1"/>
        <v>108486.67500381885</v>
      </c>
      <c r="E26" s="114">
        <f t="shared" si="2"/>
        <v>108486.67500381885</v>
      </c>
      <c r="F26" s="114">
        <f>'TTS O&amp;M Input'!$C$10*'TTS Calculation Summary'!Y26</f>
        <v>1043182.7888359572</v>
      </c>
      <c r="G26" s="114">
        <f>'TTS Calculation Summary'!AA26*2000*'TTS O&amp;M Input'!$C$11</f>
        <v>187959.96217094312</v>
      </c>
      <c r="H26" s="114">
        <f>'TTS Calculation Summary'!AC26*2000*'TTS O&amp;M Input'!$C$12</f>
        <v>4732.9573614898363</v>
      </c>
      <c r="I26" s="114">
        <f>'TTS Calculation Summary'!AD26*'TTS O&amp;M Input'!$C$18+'TTS Calculation Summary'!AE26*'TTS O&amp;M Input'!$C$17+'TTS Calculation Summary'!AF26*'TTS O&amp;M Input'!$C$13+'TTS Calculation Summary'!AH26*'TTS O&amp;M Input'!$C$15+'TTS Calculation Summary'!AI26*'TTS O&amp;M Input'!$C$16+'TTS Calculation Summary'!AG26*'TTS O&amp;M Input'!$C$14</f>
        <v>109550.85332306565</v>
      </c>
      <c r="J26" s="114">
        <f>'TTS Analytical Costs'!P27</f>
        <v>30628</v>
      </c>
      <c r="K26" s="114">
        <f>'TTS Calculation Summary'!AL26*$L$8</f>
        <v>70803.568473998384</v>
      </c>
      <c r="L26" s="115">
        <f t="shared" si="0"/>
        <v>2877674.5551730925</v>
      </c>
    </row>
    <row r="27" spans="1:12" x14ac:dyDescent="0.25">
      <c r="A27" s="113">
        <v>17</v>
      </c>
      <c r="B27" s="114">
        <v>0</v>
      </c>
      <c r="C27" s="114">
        <f>IF('TTS Calculation Summary'!$V27&gt;150000,'TTS Labor'!$B$39,'TTS Labor'!$E$39)</f>
        <v>1213843.075</v>
      </c>
      <c r="D27" s="114">
        <f t="shared" si="1"/>
        <v>108486.67500381885</v>
      </c>
      <c r="E27" s="114">
        <f t="shared" si="2"/>
        <v>108486.67500381885</v>
      </c>
      <c r="F27" s="114">
        <f>'TTS O&amp;M Input'!$C$10*'TTS Calculation Summary'!Y27</f>
        <v>1031477.7180382875</v>
      </c>
      <c r="G27" s="114">
        <f>'TTS Calculation Summary'!AA27*2000*'TTS O&amp;M Input'!$C$11</f>
        <v>186533.90503120807</v>
      </c>
      <c r="H27" s="114">
        <f>'TTS Calculation Summary'!AC27*2000*'TTS O&amp;M Input'!$C$12</f>
        <v>4683.1202279637837</v>
      </c>
      <c r="I27" s="114">
        <f>'TTS Calculation Summary'!AD27*'TTS O&amp;M Input'!$C$18+'TTS Calculation Summary'!AE27*'TTS O&amp;M Input'!$C$17+'TTS Calculation Summary'!AF27*'TTS O&amp;M Input'!$C$13+'TTS Calculation Summary'!AH27*'TTS O&amp;M Input'!$C$15+'TTS Calculation Summary'!AI27*'TTS O&amp;M Input'!$C$16+'TTS Calculation Summary'!AG27*'TTS O&amp;M Input'!$C$14</f>
        <v>108719.68813904983</v>
      </c>
      <c r="J27" s="114">
        <f>'TTS Analytical Costs'!P28</f>
        <v>30628</v>
      </c>
      <c r="K27" s="114">
        <f>'TTS Calculation Summary'!AL27*$L$8</f>
        <v>70266.37995164044</v>
      </c>
      <c r="L27" s="115">
        <f t="shared" si="0"/>
        <v>2863125.2363957874</v>
      </c>
    </row>
    <row r="28" spans="1:12" x14ac:dyDescent="0.25">
      <c r="A28" s="113">
        <v>18</v>
      </c>
      <c r="B28" s="114">
        <v>0</v>
      </c>
      <c r="C28" s="114">
        <f>IF('TTS Calculation Summary'!$V28&gt;150000,'TTS Labor'!$B$39,'TTS Labor'!$E$39)</f>
        <v>1213843.075</v>
      </c>
      <c r="D28" s="114">
        <f t="shared" si="1"/>
        <v>108486.67500381885</v>
      </c>
      <c r="E28" s="114">
        <f t="shared" si="2"/>
        <v>108486.67500381885</v>
      </c>
      <c r="F28" s="114">
        <f>'TTS O&amp;M Input'!$C$10*'TTS Calculation Summary'!Y28</f>
        <v>1019883.5860003595</v>
      </c>
      <c r="G28" s="114">
        <f>'TTS Calculation Summary'!AA28*2000*'TTS O&amp;M Input'!$C$11</f>
        <v>185118.22427622578</v>
      </c>
      <c r="H28" s="114">
        <f>'TTS Calculation Summary'!AC28*2000*'TTS O&amp;M Input'!$C$12</f>
        <v>4633.645723155777</v>
      </c>
      <c r="I28" s="114">
        <f>'TTS Calculation Summary'!AD28*'TTS O&amp;M Input'!$C$18+'TTS Calculation Summary'!AE28*'TTS O&amp;M Input'!$C$17+'TTS Calculation Summary'!AF28*'TTS O&amp;M Input'!$C$13+'TTS Calculation Summary'!AH28*'TTS O&amp;M Input'!$C$15+'TTS Calculation Summary'!AI28*'TTS O&amp;M Input'!$C$16+'TTS Calculation Summary'!AG28*'TTS O&amp;M Input'!$C$14</f>
        <v>107894.57074197193</v>
      </c>
      <c r="J28" s="114">
        <f>'TTS Analytical Costs'!P29</f>
        <v>30628</v>
      </c>
      <c r="K28" s="114">
        <f>'TTS Calculation Summary'!AL28*$L$8</f>
        <v>69733.100161013819</v>
      </c>
      <c r="L28" s="115">
        <f t="shared" si="0"/>
        <v>2848707.5519103645</v>
      </c>
    </row>
    <row r="29" spans="1:12" x14ac:dyDescent="0.25">
      <c r="A29" s="113">
        <v>19</v>
      </c>
      <c r="B29" s="114">
        <v>0</v>
      </c>
      <c r="C29" s="114">
        <f>IF('TTS Calculation Summary'!$V29&gt;150000,'TTS Labor'!$B$39,'TTS Labor'!$E$39)</f>
        <v>1213843.075</v>
      </c>
      <c r="D29" s="114">
        <f t="shared" si="1"/>
        <v>108486.67500381885</v>
      </c>
      <c r="E29" s="114">
        <f t="shared" si="2"/>
        <v>108486.67500381885</v>
      </c>
      <c r="F29" s="114">
        <f>'TTS O&amp;M Input'!$C$10*'TTS Calculation Summary'!Y29</f>
        <v>1008413.7546552531</v>
      </c>
      <c r="G29" s="114">
        <f>'TTS Calculation Summary'!AA29*2000*'TTS O&amp;M Input'!$C$11</f>
        <v>183714.53942355234</v>
      </c>
      <c r="H29" s="114">
        <f>'TTS Calculation Summary'!AC29*2000*'TTS O&amp;M Input'!$C$12</f>
        <v>4584.5904451574625</v>
      </c>
      <c r="I29" s="114">
        <f>'TTS Calculation Summary'!AD29*'TTS O&amp;M Input'!$C$18+'TTS Calculation Summary'!AE29*'TTS O&amp;M Input'!$C$17+'TTS Calculation Summary'!AF29*'TTS O&amp;M Input'!$C$13+'TTS Calculation Summary'!AH29*'TTS O&amp;M Input'!$C$15+'TTS Calculation Summary'!AI29*'TTS O&amp;M Input'!$C$16+'TTS Calculation Summary'!AG29*'TTS O&amp;M Input'!$C$14</f>
        <v>107076.44505376182</v>
      </c>
      <c r="J29" s="114">
        <f>'TTS Analytical Costs'!P30</f>
        <v>30628</v>
      </c>
      <c r="K29" s="114">
        <f>'TTS Calculation Summary'!AL29*$L$8</f>
        <v>69204.339166202626</v>
      </c>
      <c r="L29" s="115">
        <f t="shared" si="0"/>
        <v>2834438.0937515651</v>
      </c>
    </row>
    <row r="30" spans="1:12" x14ac:dyDescent="0.25">
      <c r="A30" s="113">
        <v>20</v>
      </c>
      <c r="B30" s="114">
        <v>0</v>
      </c>
      <c r="C30" s="114">
        <f>IF('TTS Calculation Summary'!$V30&gt;150000,'TTS Labor'!$B$39,'TTS Labor'!$E$39)</f>
        <v>1213843.075</v>
      </c>
      <c r="D30" s="114">
        <f t="shared" si="1"/>
        <v>108486.67500381885</v>
      </c>
      <c r="E30" s="114">
        <f t="shared" si="2"/>
        <v>108486.67500381885</v>
      </c>
      <c r="F30" s="114">
        <f>'TTS O&amp;M Input'!$C$10*'TTS Calculation Summary'!Y30</f>
        <v>997067.62455784716</v>
      </c>
      <c r="G30" s="114">
        <f>'TTS Calculation Summary'!AA30*2000*'TTS O&amp;M Input'!$C$11</f>
        <v>182322.97212513792</v>
      </c>
      <c r="H30" s="114">
        <f>'TTS Calculation Summary'!AC30*2000*'TTS O&amp;M Input'!$C$12</f>
        <v>4535.9586454005102</v>
      </c>
      <c r="I30" s="114">
        <f>'TTS Calculation Summary'!AD30*'TTS O&amp;M Input'!$C$18+'TTS Calculation Summary'!AE30*'TTS O&amp;M Input'!$C$17+'TTS Calculation Summary'!AF30*'TTS O&amp;M Input'!$C$13+'TTS Calculation Summary'!AH30*'TTS O&amp;M Input'!$C$15+'TTS Calculation Summary'!AI30*'TTS O&amp;M Input'!$C$16+'TTS Calculation Summary'!AG30*'TTS O&amp;M Input'!$C$14</f>
        <v>106265.38197821642</v>
      </c>
      <c r="J30" s="114">
        <f>'TTS Analytical Costs'!P31</f>
        <v>30628</v>
      </c>
      <c r="K30" s="114">
        <f>'TTS Calculation Summary'!AL30*$L$8</f>
        <v>68680.14279288215</v>
      </c>
      <c r="L30" s="115">
        <f t="shared" si="0"/>
        <v>2820316.505107122</v>
      </c>
    </row>
    <row r="31" spans="1:12" x14ac:dyDescent="0.25">
      <c r="A31" s="113">
        <v>21</v>
      </c>
      <c r="B31" s="114">
        <v>0</v>
      </c>
      <c r="C31" s="114">
        <f>IF('TTS Calculation Summary'!$V31&gt;150000,'TTS Labor'!$B$39,'TTS Labor'!$E$39)</f>
        <v>1213843.075</v>
      </c>
      <c r="D31" s="114">
        <f t="shared" si="1"/>
        <v>108486.67500381885</v>
      </c>
      <c r="E31" s="114">
        <f t="shared" si="2"/>
        <v>108486.67500381885</v>
      </c>
      <c r="F31" s="114">
        <f>'TTS O&amp;M Input'!$C$10*'TTS Calculation Summary'!Y31</f>
        <v>986096.01683375903</v>
      </c>
      <c r="G31" s="114">
        <f>'TTS Calculation Summary'!AA31*2000*'TTS O&amp;M Input'!$C$11</f>
        <v>180978.02042726183</v>
      </c>
      <c r="H31" s="114">
        <f>'TTS Calculation Summary'!AC31*2000*'TTS O&amp;M Input'!$C$12</f>
        <v>4488.9559443968201</v>
      </c>
      <c r="I31" s="114">
        <f>'TTS Calculation Summary'!AD31*'TTS O&amp;M Input'!$C$18+'TTS Calculation Summary'!AE31*'TTS O&amp;M Input'!$C$17+'TTS Calculation Summary'!AF31*'TTS O&amp;M Input'!$C$13+'TTS Calculation Summary'!AH31*'TTS O&amp;M Input'!$C$15+'TTS Calculation Summary'!AI31*'TTS O&amp;M Input'!$C$16+'TTS Calculation Summary'!AG31*'TTS O&amp;M Input'!$C$14</f>
        <v>105481.48840599578</v>
      </c>
      <c r="J31" s="114">
        <f>'TTS Analytical Costs'!P32</f>
        <v>30628</v>
      </c>
      <c r="K31" s="114">
        <f>'TTS Calculation Summary'!AL31*$L$8</f>
        <v>68173.506280856323</v>
      </c>
      <c r="L31" s="115">
        <f t="shared" si="0"/>
        <v>2806662.4128999081</v>
      </c>
    </row>
    <row r="32" spans="1:12" x14ac:dyDescent="0.25">
      <c r="A32" s="113">
        <v>22</v>
      </c>
      <c r="B32" s="114">
        <v>0</v>
      </c>
      <c r="C32" s="114">
        <f>IF('TTS Calculation Summary'!$V32&gt;150000,'TTS Labor'!$B$39,'TTS Labor'!$E$39)</f>
        <v>1213843.075</v>
      </c>
      <c r="D32" s="114">
        <f t="shared" si="1"/>
        <v>108486.67500381885</v>
      </c>
      <c r="E32" s="114">
        <f t="shared" si="2"/>
        <v>108486.67500381885</v>
      </c>
      <c r="F32" s="114">
        <f>'TTS O&amp;M Input'!$C$10*'TTS Calculation Summary'!Y32</f>
        <v>975823.41352237121</v>
      </c>
      <c r="G32" s="114">
        <f>'TTS Calculation Summary'!AA32*2000*'TTS O&amp;M Input'!$C$11</f>
        <v>179724.44245588387</v>
      </c>
      <c r="H32" s="114">
        <f>'TTS Calculation Summary'!AC32*2000*'TTS O&amp;M Input'!$C$12</f>
        <v>4445.1465268046977</v>
      </c>
      <c r="I32" s="114">
        <f>'TTS Calculation Summary'!AD32*'TTS O&amp;M Input'!$C$18+'TTS Calculation Summary'!AE32*'TTS O&amp;M Input'!$C$17+'TTS Calculation Summary'!AF32*'TTS O&amp;M Input'!$C$13+'TTS Calculation Summary'!AH32*'TTS O&amp;M Input'!$C$15+'TTS Calculation Summary'!AI32*'TTS O&amp;M Input'!$C$16+'TTS Calculation Summary'!AG32*'TTS O&amp;M Input'!$C$14</f>
        <v>104750.85122728346</v>
      </c>
      <c r="J32" s="114">
        <f>'TTS Analytical Costs'!P33</f>
        <v>30628</v>
      </c>
      <c r="K32" s="114">
        <f>'TTS Calculation Summary'!AL32*$L$8</f>
        <v>67701.28979012715</v>
      </c>
      <c r="L32" s="115">
        <f t="shared" si="0"/>
        <v>2793889.5685301083</v>
      </c>
    </row>
    <row r="33" spans="1:12" x14ac:dyDescent="0.25">
      <c r="A33" s="113">
        <v>23</v>
      </c>
      <c r="B33" s="114">
        <v>0</v>
      </c>
      <c r="C33" s="114">
        <f>IF('TTS Calculation Summary'!$V33&gt;150000,'TTS Labor'!$B$39,'TTS Labor'!$E$39)</f>
        <v>1213843.075</v>
      </c>
      <c r="D33" s="114">
        <f t="shared" si="1"/>
        <v>108486.67500381885</v>
      </c>
      <c r="E33" s="114">
        <f t="shared" si="2"/>
        <v>108486.67500381885</v>
      </c>
      <c r="F33" s="114">
        <f>'TTS O&amp;M Input'!$C$10*'TTS Calculation Summary'!Y33</f>
        <v>966167.16874234367</v>
      </c>
      <c r="G33" s="114">
        <f>'TTS Calculation Summary'!AA33*2000*'TTS O&amp;M Input'!$C$11</f>
        <v>178551.0994342732</v>
      </c>
      <c r="H33" s="114">
        <f>'TTS Calculation Summary'!AC33*2000*'TTS O&amp;M Input'!$C$12</f>
        <v>4404.1411202115669</v>
      </c>
      <c r="I33" s="114">
        <f>'TTS Calculation Summary'!AD33*'TTS O&amp;M Input'!$C$18+'TTS Calculation Summary'!AE33*'TTS O&amp;M Input'!$C$17+'TTS Calculation Summary'!AF33*'TTS O&amp;M Input'!$C$13+'TTS Calculation Summary'!AH33*'TTS O&amp;M Input'!$C$15+'TTS Calculation Summary'!AI33*'TTS O&amp;M Input'!$C$16+'TTS Calculation Summary'!AG33*'TTS O&amp;M Input'!$C$14</f>
        <v>104066.97830151</v>
      </c>
      <c r="J33" s="114">
        <f>'TTS Analytical Costs'!P34</f>
        <v>30628</v>
      </c>
      <c r="K33" s="114">
        <f>'TTS Calculation Summary'!AL33*$L$8</f>
        <v>67259.297399755495</v>
      </c>
      <c r="L33" s="115">
        <f t="shared" si="0"/>
        <v>2781893.1100057322</v>
      </c>
    </row>
    <row r="34" spans="1:12" x14ac:dyDescent="0.25">
      <c r="A34" s="113">
        <v>24</v>
      </c>
      <c r="B34" s="114">
        <v>0</v>
      </c>
      <c r="C34" s="114">
        <f>IF('TTS Calculation Summary'!$V34&gt;150000,'TTS Labor'!$B$39,'TTS Labor'!$E$39)</f>
        <v>1213843.075</v>
      </c>
      <c r="D34" s="114">
        <f t="shared" si="1"/>
        <v>108486.67500381885</v>
      </c>
      <c r="E34" s="114">
        <f t="shared" si="2"/>
        <v>108486.67500381885</v>
      </c>
      <c r="F34" s="114">
        <f>'TTS O&amp;M Input'!$C$10*'TTS Calculation Summary'!Y34</f>
        <v>957072.1049079881</v>
      </c>
      <c r="G34" s="114">
        <f>'TTS Calculation Summary'!AA34*2000*'TTS O&amp;M Input'!$C$11</f>
        <v>177450.89514400958</v>
      </c>
      <c r="H34" s="114">
        <f>'TTS Calculation Summary'!AC34*2000*'TTS O&amp;M Input'!$C$12</f>
        <v>4365.6917295160492</v>
      </c>
      <c r="I34" s="114">
        <f>'TTS Calculation Summary'!AD34*'TTS O&amp;M Input'!$C$18+'TTS Calculation Summary'!AE34*'TTS O&amp;M Input'!$C$17+'TTS Calculation Summary'!AF34*'TTS O&amp;M Input'!$C$13+'TTS Calculation Summary'!AH34*'TTS O&amp;M Input'!$C$15+'TTS Calculation Summary'!AI34*'TTS O&amp;M Input'!$C$16+'TTS Calculation Summary'!AG34*'TTS O&amp;M Input'!$C$14</f>
        <v>103425.73365857662</v>
      </c>
      <c r="J34" s="114">
        <f>'TTS Analytical Costs'!P35</f>
        <v>30628</v>
      </c>
      <c r="K34" s="114">
        <f>'TTS Calculation Summary'!AL34*$L$8</f>
        <v>66844.856000101354</v>
      </c>
      <c r="L34" s="115">
        <f t="shared" si="0"/>
        <v>2770603.7064478295</v>
      </c>
    </row>
    <row r="35" spans="1:12" x14ac:dyDescent="0.25">
      <c r="A35" s="113">
        <v>25</v>
      </c>
      <c r="B35" s="114">
        <v>0</v>
      </c>
      <c r="C35" s="114">
        <f>IF('TTS Calculation Summary'!$V35&gt;150000,'TTS Labor'!$B$39,'TTS Labor'!$E$39)*0.9</f>
        <v>1092458.7675000001</v>
      </c>
      <c r="D35" s="114">
        <f t="shared" si="1"/>
        <v>108486.67500381885</v>
      </c>
      <c r="E35" s="114">
        <f t="shared" si="2"/>
        <v>108486.67500381885</v>
      </c>
      <c r="F35" s="114">
        <f>'TTS O&amp;M Input'!$C$10*'TTS Calculation Summary'!Y35</f>
        <v>948446.9765986884</v>
      </c>
      <c r="G35" s="114">
        <f>'TTS Calculation Summary'!AA35*2000*'TTS O&amp;M Input'!$C$11</f>
        <v>176411.54050070175</v>
      </c>
      <c r="H35" s="114">
        <f>'TTS Calculation Summary'!AC35*2000*'TTS O&amp;M Input'!$C$12</f>
        <v>4329.3688819272929</v>
      </c>
      <c r="I35" s="114">
        <f>'TTS Calculation Summary'!AD35*'TTS O&amp;M Input'!$C$18+'TTS Calculation Summary'!AE35*'TTS O&amp;M Input'!$C$17+'TTS Calculation Summary'!AF35*'TTS O&amp;M Input'!$C$13+'TTS Calculation Summary'!AH35*'TTS O&amp;M Input'!$C$15+'TTS Calculation Summary'!AI35*'TTS O&amp;M Input'!$C$16+'TTS Calculation Summary'!AG35*'TTS O&amp;M Input'!$C$14</f>
        <v>102819.954710951</v>
      </c>
      <c r="J35" s="114">
        <f>'TTS Analytical Costs'!P36</f>
        <v>30628</v>
      </c>
      <c r="K35" s="114">
        <f>'TTS Calculation Summary'!AL35*$L$8</f>
        <v>66453.336355139472</v>
      </c>
      <c r="L35" s="115">
        <f t="shared" si="0"/>
        <v>2638521.2945550461</v>
      </c>
    </row>
    <row r="36" spans="1:12" x14ac:dyDescent="0.25">
      <c r="A36" s="113">
        <v>26</v>
      </c>
      <c r="B36" s="114">
        <v>0</v>
      </c>
      <c r="C36" s="114">
        <f>IF('TTS Calculation Summary'!$V36&gt;150000,'TTS Labor'!$B$39,'TTS Labor'!$E$39)*0.9</f>
        <v>1092458.7675000001</v>
      </c>
      <c r="D36" s="114">
        <f t="shared" si="1"/>
        <v>108486.67500381885</v>
      </c>
      <c r="E36" s="114">
        <f t="shared" si="2"/>
        <v>108486.67500381885</v>
      </c>
      <c r="F36" s="114">
        <f>'TTS O&amp;M Input'!$C$10*'TTS Calculation Summary'!Y36</f>
        <v>940247.63702916482</v>
      </c>
      <c r="G36" s="114">
        <f>'TTS Calculation Summary'!AA36*2000*'TTS O&amp;M Input'!$C$11</f>
        <v>175426.99545970181</v>
      </c>
      <c r="H36" s="114">
        <f>'TTS Calculation Summary'!AC36*2000*'TTS O&amp;M Input'!$C$12</f>
        <v>4294.9614929780355</v>
      </c>
      <c r="I36" s="114">
        <f>'TTS Calculation Summary'!AD36*'TTS O&amp;M Input'!$C$18+'TTS Calculation Summary'!AE36*'TTS O&amp;M Input'!$C$17+'TTS Calculation Summary'!AF36*'TTS O&amp;M Input'!$C$13+'TTS Calculation Summary'!AH36*'TTS O&amp;M Input'!$C$15+'TTS Calculation Summary'!AI36*'TTS O&amp;M Input'!$C$16+'TTS Calculation Summary'!AG36*'TTS O&amp;M Input'!$C$14</f>
        <v>102246.12107036723</v>
      </c>
      <c r="J36" s="114">
        <f>'TTS Analytical Costs'!P37</f>
        <v>30628</v>
      </c>
      <c r="K36" s="114">
        <f>'TTS Calculation Summary'!AL36*$L$8</f>
        <v>66082.463210555754</v>
      </c>
      <c r="L36" s="115">
        <f t="shared" si="0"/>
        <v>2628358.2957704058</v>
      </c>
    </row>
    <row r="37" spans="1:12" x14ac:dyDescent="0.25">
      <c r="A37" s="113">
        <v>27</v>
      </c>
      <c r="B37" s="114">
        <v>0</v>
      </c>
      <c r="C37" s="114">
        <f>IF('TTS Calculation Summary'!$V37&gt;150000,'TTS Labor'!$B$39,'TTS Labor'!$E$39)*0.9</f>
        <v>1092458.7675000001</v>
      </c>
      <c r="D37" s="114">
        <f t="shared" si="1"/>
        <v>108486.67500381885</v>
      </c>
      <c r="E37" s="114">
        <f t="shared" si="2"/>
        <v>108486.67500381885</v>
      </c>
      <c r="F37" s="114">
        <f>'TTS O&amp;M Input'!$C$10*'TTS Calculation Summary'!Y37</f>
        <v>932443.39371571771</v>
      </c>
      <c r="G37" s="114">
        <f>'TTS Calculation Summary'!AA37*2000*'TTS O&amp;M Input'!$C$11</f>
        <v>174493.24399118448</v>
      </c>
      <c r="H37" s="114">
        <f>'TTS Calculation Summary'!AC37*2000*'TTS O&amp;M Input'!$C$12</f>
        <v>4262.329212461359</v>
      </c>
      <c r="I37" s="114">
        <f>'TTS Calculation Summary'!AD37*'TTS O&amp;M Input'!$C$18+'TTS Calculation Summary'!AE37*'TTS O&amp;M Input'!$C$17+'TTS Calculation Summary'!AF37*'TTS O&amp;M Input'!$C$13+'TTS Calculation Summary'!AH37*'TTS O&amp;M Input'!$C$15+'TTS Calculation Summary'!AI37*'TTS O&amp;M Input'!$C$16+'TTS Calculation Summary'!AG37*'TTS O&amp;M Input'!$C$14</f>
        <v>101701.89202825504</v>
      </c>
      <c r="J37" s="114">
        <f>'TTS Analytical Costs'!P38</f>
        <v>30628</v>
      </c>
      <c r="K37" s="114">
        <f>'TTS Calculation Summary'!AL37*$L$8</f>
        <v>65730.723748197619</v>
      </c>
      <c r="L37" s="115">
        <f t="shared" si="0"/>
        <v>2618691.7002034541</v>
      </c>
    </row>
    <row r="38" spans="1:12" x14ac:dyDescent="0.25">
      <c r="A38" s="113">
        <v>28</v>
      </c>
      <c r="B38" s="114">
        <v>0</v>
      </c>
      <c r="C38" s="114">
        <f>IF('TTS Calculation Summary'!$V38&gt;150000,'TTS Labor'!$B$39,'TTS Labor'!$E$39)*0.9</f>
        <v>1092458.7675000001</v>
      </c>
      <c r="D38" s="114">
        <f t="shared" si="1"/>
        <v>108486.67500381885</v>
      </c>
      <c r="E38" s="114">
        <f t="shared" si="2"/>
        <v>108486.67500381885</v>
      </c>
      <c r="F38" s="114">
        <f>'TTS O&amp;M Input'!$C$10*'TTS Calculation Summary'!Y38</f>
        <v>925007.64310092025</v>
      </c>
      <c r="G38" s="114">
        <f>'TTS Calculation Summary'!AA38*2000*'TTS O&amp;M Input'!$C$11</f>
        <v>173606.69319412517</v>
      </c>
      <c r="H38" s="114">
        <f>'TTS Calculation Summary'!AC38*2000*'TTS O&amp;M Input'!$C$12</f>
        <v>4231.3464774645818</v>
      </c>
      <c r="I38" s="114">
        <f>'TTS Calculation Summary'!AD38*'TTS O&amp;M Input'!$C$18+'TTS Calculation Summary'!AE38*'TTS O&amp;M Input'!$C$17+'TTS Calculation Summary'!AF38*'TTS O&amp;M Input'!$C$13+'TTS Calculation Summary'!AH38*'TTS O&amp;M Input'!$C$15+'TTS Calculation Summary'!AI38*'TTS O&amp;M Input'!$C$16+'TTS Calculation Summary'!AG38*'TTS O&amp;M Input'!$C$14</f>
        <v>101185.17349303975</v>
      </c>
      <c r="J38" s="114">
        <f>'TTS Analytical Costs'!P39</f>
        <v>30628</v>
      </c>
      <c r="K38" s="114">
        <f>'TTS Calculation Summary'!AL38*$L$8</f>
        <v>65396.764540394739</v>
      </c>
      <c r="L38" s="115">
        <f t="shared" si="0"/>
        <v>2609487.7383135827</v>
      </c>
    </row>
    <row r="39" spans="1:12" x14ac:dyDescent="0.25">
      <c r="A39" s="113">
        <v>29</v>
      </c>
      <c r="B39" s="114">
        <v>0</v>
      </c>
      <c r="C39" s="114">
        <f>IF('TTS Calculation Summary'!$V39&gt;150000,'TTS Labor'!$B$39,'TTS Labor'!$E$39)*0.9</f>
        <v>1092458.7675000001</v>
      </c>
      <c r="D39" s="114">
        <f t="shared" si="1"/>
        <v>108486.67500381885</v>
      </c>
      <c r="E39" s="114">
        <f t="shared" si="2"/>
        <v>108486.67500381885</v>
      </c>
      <c r="F39" s="114">
        <f>'TTS O&amp;M Input'!$C$10*'TTS Calculation Summary'!Y39</f>
        <v>917912.63535557548</v>
      </c>
      <c r="G39" s="114">
        <f>'TTS Calculation Summary'!AA39*2000*'TTS O&amp;M Input'!$C$11</f>
        <v>172763.83025279688</v>
      </c>
      <c r="H39" s="114">
        <f>'TTS Calculation Summary'!AC39*2000*'TTS O&amp;M Input'!$C$12</f>
        <v>4201.8905238560592</v>
      </c>
      <c r="I39" s="114">
        <f>'TTS Calculation Summary'!AD39*'TTS O&amp;M Input'!$C$18+'TTS Calculation Summary'!AE39*'TTS O&amp;M Input'!$C$17+'TTS Calculation Summary'!AF39*'TTS O&amp;M Input'!$C$13+'TTS Calculation Summary'!AH39*'TTS O&amp;M Input'!$C$15+'TTS Calculation Summary'!AI39*'TTS O&amp;M Input'!$C$16+'TTS Calculation Summary'!AG39*'TTS O&amp;M Input'!$C$14</f>
        <v>100693.91805017623</v>
      </c>
      <c r="J39" s="114">
        <f>'TTS Analytical Costs'!P40</f>
        <v>30628</v>
      </c>
      <c r="K39" s="114">
        <f>'TTS Calculation Summary'!AL39*$L$8</f>
        <v>65079.262327203949</v>
      </c>
      <c r="L39" s="115">
        <f t="shared" si="0"/>
        <v>2600711.6540172468</v>
      </c>
    </row>
    <row r="40" spans="1:12" x14ac:dyDescent="0.25">
      <c r="A40" s="113">
        <v>30</v>
      </c>
      <c r="B40" s="114">
        <v>0</v>
      </c>
      <c r="C40" s="114">
        <f>IF('TTS Calculation Summary'!$V40&gt;150000,'TTS Labor'!$B$39,'TTS Labor'!$E$39)*0.9</f>
        <v>1092458.7675000001</v>
      </c>
      <c r="D40" s="114">
        <f t="shared" si="1"/>
        <v>108486.67500381885</v>
      </c>
      <c r="E40" s="114">
        <f t="shared" si="2"/>
        <v>108486.67500381885</v>
      </c>
      <c r="F40" s="114">
        <f>'TTS O&amp;M Input'!$C$10*'TTS Calculation Summary'!Y40</f>
        <v>911138.69402583444</v>
      </c>
      <c r="G40" s="114">
        <f>'TTS Calculation Summary'!AA40*2000*'TTS O&amp;M Input'!$C$11</f>
        <v>171962.02263152503</v>
      </c>
      <c r="H40" s="114">
        <f>'TTS Calculation Summary'!AC40*2000*'TTS O&amp;M Input'!$C$12</f>
        <v>4173.869351092284</v>
      </c>
      <c r="I40" s="114">
        <f>'TTS Calculation Summary'!AD40*'TTS O&amp;M Input'!$C$18+'TTS Calculation Summary'!AE40*'TTS O&amp;M Input'!$C$17+'TTS Calculation Summary'!AF40*'TTS O&amp;M Input'!$C$13+'TTS Calculation Summary'!AH40*'TTS O&amp;M Input'!$C$15+'TTS Calculation Summary'!AI40*'TTS O&amp;M Input'!$C$16+'TTS Calculation Summary'!AG40*'TTS O&amp;M Input'!$C$14</f>
        <v>100226.59134880469</v>
      </c>
      <c r="J40" s="114">
        <f>'TTS Analytical Costs'!P41</f>
        <v>30628</v>
      </c>
      <c r="K40" s="114">
        <f>'TTS Calculation Summary'!AL40*$L$8</f>
        <v>64777.225445732023</v>
      </c>
      <c r="L40" s="115">
        <f t="shared" si="0"/>
        <v>2592338.5203106264</v>
      </c>
    </row>
    <row r="41" spans="1:12" x14ac:dyDescent="0.25">
      <c r="A41" s="113">
        <v>31</v>
      </c>
      <c r="B41" s="114">
        <v>0</v>
      </c>
      <c r="C41" s="114">
        <f>IF('TTS Calculation Summary'!$V41&gt;150000,'TTS Labor'!$B$39,'TTS Labor'!$E$39)*0.9</f>
        <v>1092458.7675000001</v>
      </c>
      <c r="D41" s="114">
        <f t="shared" si="1"/>
        <v>108486.67500381885</v>
      </c>
      <c r="E41" s="114">
        <f t="shared" si="2"/>
        <v>108486.67500381885</v>
      </c>
      <c r="F41" s="114">
        <f>'TTS O&amp;M Input'!$C$10*'TTS Calculation Summary'!Y41</f>
        <v>904651.36930586619</v>
      </c>
      <c r="G41" s="114">
        <f>'TTS Calculation Summary'!AA41*2000*'TTS O&amp;M Input'!$C$11</f>
        <v>171196.82265744262</v>
      </c>
      <c r="H41" s="114">
        <f>'TTS Calculation Summary'!AC41*2000*'TTS O&amp;M Input'!$C$12</f>
        <v>4147.1275241206349</v>
      </c>
      <c r="I41" s="114">
        <f>'TTS Calculation Summary'!AD41*'TTS O&amp;M Input'!$C$18+'TTS Calculation Summary'!AE41*'TTS O&amp;M Input'!$C$17+'TTS Calculation Summary'!AF41*'TTS O&amp;M Input'!$C$13+'TTS Calculation Summary'!AH41*'TTS O&amp;M Input'!$C$15+'TTS Calculation Summary'!AI41*'TTS O&amp;M Input'!$C$16+'TTS Calculation Summary'!AG41*'TTS O&amp;M Input'!$C$14</f>
        <v>99780.601100906657</v>
      </c>
      <c r="J41" s="114">
        <f>'TTS Analytical Costs'!P42</f>
        <v>30628</v>
      </c>
      <c r="K41" s="114">
        <f>'TTS Calculation Summary'!AL41*$L$8</f>
        <v>64488.978480072525</v>
      </c>
      <c r="L41" s="115">
        <f t="shared" si="0"/>
        <v>2584325.0165760471</v>
      </c>
    </row>
    <row r="42" spans="1:12" x14ac:dyDescent="0.25">
      <c r="A42" s="113">
        <v>32</v>
      </c>
      <c r="B42" s="114">
        <v>0</v>
      </c>
      <c r="C42" s="114">
        <f>IF('TTS Calculation Summary'!$V42&gt;150000,'TTS Labor'!$B$39,'TTS Labor'!$E$39)*0.9</f>
        <v>1092458.7675000001</v>
      </c>
      <c r="D42" s="114">
        <f t="shared" si="1"/>
        <v>108486.67500381885</v>
      </c>
      <c r="E42" s="114">
        <f t="shared" si="2"/>
        <v>108486.67500381885</v>
      </c>
      <c r="F42" s="114">
        <f>'TTS O&amp;M Input'!$C$10*'TTS Calculation Summary'!Y42</f>
        <v>898427.58934509626</v>
      </c>
      <c r="G42" s="114">
        <f>'TTS Calculation Summary'!AA42*2000*'TTS O&amp;M Input'!$C$11</f>
        <v>170465.19771713825</v>
      </c>
      <c r="H42" s="114">
        <f>'TTS Calculation Summary'!AC42*2000*'TTS O&amp;M Input'!$C$12</f>
        <v>4121.5590606804444</v>
      </c>
      <c r="I42" s="114">
        <f>'TTS Calculation Summary'!AD42*'TTS O&amp;M Input'!$C$18+'TTS Calculation Summary'!AE42*'TTS O&amp;M Input'!$C$17+'TTS Calculation Summary'!AF42*'TTS O&amp;M Input'!$C$13+'TTS Calculation Summary'!AH42*'TTS O&amp;M Input'!$C$15+'TTS Calculation Summary'!AI42*'TTS O&amp;M Input'!$C$16+'TTS Calculation Summary'!AG42*'TTS O&amp;M Input'!$C$14</f>
        <v>99354.179773741853</v>
      </c>
      <c r="J42" s="114">
        <f>'TTS Analytical Costs'!P43</f>
        <v>30628</v>
      </c>
      <c r="K42" s="114">
        <f>'TTS Calculation Summary'!AL42*$L$8</f>
        <v>64213.379060069383</v>
      </c>
      <c r="L42" s="115">
        <f t="shared" si="0"/>
        <v>2576642.0224643638</v>
      </c>
    </row>
    <row r="43" spans="1:12" x14ac:dyDescent="0.25">
      <c r="A43" s="113">
        <v>33</v>
      </c>
      <c r="B43" s="114">
        <v>0</v>
      </c>
      <c r="C43" s="114">
        <f>IF('TTS Calculation Summary'!$V43&gt;150000,'TTS Labor'!$B$39,'TTS Labor'!$E$39)*0.9</f>
        <v>1092458.7675000001</v>
      </c>
      <c r="D43" s="114">
        <f t="shared" si="1"/>
        <v>108486.67500381885</v>
      </c>
      <c r="E43" s="114">
        <f t="shared" si="2"/>
        <v>108486.67500381885</v>
      </c>
      <c r="F43" s="114">
        <f>'TTS O&amp;M Input'!$C$10*'TTS Calculation Summary'!Y43</f>
        <v>892450.43796509516</v>
      </c>
      <c r="G43" s="114">
        <f>'TTS Calculation Summary'!AA43*2000*'TTS O&amp;M Input'!$C$11</f>
        <v>169764.82982917686</v>
      </c>
      <c r="H43" s="114">
        <f>'TTS Calculation Summary'!AC43*2000*'TTS O&amp;M Input'!$C$12</f>
        <v>4097.0829531128484</v>
      </c>
      <c r="I43" s="114">
        <f>'TTS Calculation Summary'!AD43*'TTS O&amp;M Input'!$C$18+'TTS Calculation Summary'!AE43*'TTS O&amp;M Input'!$C$17+'TTS Calculation Summary'!AF43*'TTS O&amp;M Input'!$C$13+'TTS Calculation Summary'!AH43*'TTS O&amp;M Input'!$C$15+'TTS Calculation Summary'!AI43*'TTS O&amp;M Input'!$C$16+'TTS Calculation Summary'!AG43*'TTS O&amp;M Input'!$C$14</f>
        <v>98945.976351693564</v>
      </c>
      <c r="J43" s="114">
        <f>'TTS Analytical Costs'!P44</f>
        <v>18941</v>
      </c>
      <c r="K43" s="114">
        <f>'TTS Calculation Summary'!AL43*$L$8</f>
        <v>63949.554013822737</v>
      </c>
      <c r="L43" s="115">
        <f t="shared" si="0"/>
        <v>2557580.998620539</v>
      </c>
    </row>
    <row r="44" spans="1:12" x14ac:dyDescent="0.25">
      <c r="A44" s="113">
        <v>34</v>
      </c>
      <c r="B44" s="114">
        <v>0</v>
      </c>
      <c r="C44" s="114">
        <f>IF('TTS Calculation Summary'!$V44&gt;150000,'TTS Labor'!$B$39,'TTS Labor'!$E$39)*0.9</f>
        <v>1092458.7675000001</v>
      </c>
      <c r="D44" s="114">
        <f t="shared" si="1"/>
        <v>108486.67500381885</v>
      </c>
      <c r="E44" s="114">
        <f t="shared" si="2"/>
        <v>108486.67500381885</v>
      </c>
      <c r="F44" s="114">
        <f>'TTS O&amp;M Input'!$C$10*'TTS Calculation Summary'!Y44</f>
        <v>886694.84706272592</v>
      </c>
      <c r="G44" s="114">
        <f>'TTS Calculation Summary'!AA44*2000*'TTS O&amp;M Input'!$C$11</f>
        <v>169092.51076533622</v>
      </c>
      <c r="H44" s="114">
        <f>'TTS Calculation Summary'!AC44*2000*'TTS O&amp;M Input'!$C$12</f>
        <v>4073.5870818583762</v>
      </c>
      <c r="I44" s="114">
        <f>'TTS Calculation Summary'!AD44*'TTS O&amp;M Input'!$C$18+'TTS Calculation Summary'!AE44*'TTS O&amp;M Input'!$C$17+'TTS Calculation Summary'!AF44*'TTS O&amp;M Input'!$C$13+'TTS Calculation Summary'!AH44*'TTS O&amp;M Input'!$C$15+'TTS Calculation Summary'!AI44*'TTS O&amp;M Input'!$C$16+'TTS Calculation Summary'!AG44*'TTS O&amp;M Input'!$C$14</f>
        <v>98554.120946433803</v>
      </c>
      <c r="J44" s="114">
        <f>'TTS Analytical Costs'!P45</f>
        <v>18941</v>
      </c>
      <c r="K44" s="114">
        <f>'TTS Calculation Summary'!AL44*$L$8</f>
        <v>63696.294817964212</v>
      </c>
      <c r="L44" s="115">
        <f t="shared" si="0"/>
        <v>2550484.4781819568</v>
      </c>
    </row>
    <row r="45" spans="1:12" x14ac:dyDescent="0.25">
      <c r="A45" s="113">
        <v>35</v>
      </c>
      <c r="B45" s="114">
        <v>0</v>
      </c>
      <c r="C45" s="114">
        <f>IF('TTS Calculation Summary'!$V45&gt;150000,'TTS Labor'!$B$39,'TTS Labor'!$E$39)*0.9</f>
        <v>1092458.7675000001</v>
      </c>
      <c r="D45" s="114">
        <f t="shared" si="1"/>
        <v>108486.67500381885</v>
      </c>
      <c r="E45" s="114">
        <f t="shared" si="2"/>
        <v>108486.67500381885</v>
      </c>
      <c r="F45" s="114">
        <f>'TTS O&amp;M Input'!$C$10*'TTS Calculation Summary'!Y45</f>
        <v>881151.99502476316</v>
      </c>
      <c r="G45" s="114">
        <f>'TTS Calculation Summary'!AA45*2000*'TTS O&amp;M Input'!$C$11</f>
        <v>168447.09505833339</v>
      </c>
      <c r="H45" s="114">
        <f>'TTS Calculation Summary'!AC45*2000*'TTS O&amp;M Input'!$C$12</f>
        <v>4051.0314156978402</v>
      </c>
      <c r="I45" s="114">
        <f>'TTS Calculation Summary'!AD45*'TTS O&amp;M Input'!$C$18+'TTS Calculation Summary'!AE45*'TTS O&amp;M Input'!$C$17+'TTS Calculation Summary'!AF45*'TTS O&amp;M Input'!$C$13+'TTS Calculation Summary'!AH45*'TTS O&amp;M Input'!$C$15+'TTS Calculation Summary'!AI45*'TTS O&amp;M Input'!$C$16+'TTS Calculation Summary'!AG45*'TTS O&amp;M Input'!$C$14</f>
        <v>98177.945932172166</v>
      </c>
      <c r="J45" s="114">
        <f>'TTS Analytical Costs'!P46</f>
        <v>18941</v>
      </c>
      <c r="K45" s="114">
        <f>'TTS Calculation Summary'!AL45*$L$8</f>
        <v>63453.169980753344</v>
      </c>
      <c r="L45" s="115">
        <f t="shared" si="0"/>
        <v>2543654.3549193577</v>
      </c>
    </row>
    <row r="46" spans="1:12" x14ac:dyDescent="0.25">
      <c r="A46" s="113">
        <v>36</v>
      </c>
      <c r="B46" s="114">
        <v>0</v>
      </c>
      <c r="C46" s="114">
        <f>IF('TTS Calculation Summary'!$V46&gt;150000,'TTS Labor'!$B$39,'TTS Labor'!$E$39)*0.9</f>
        <v>1092458.7675000001</v>
      </c>
      <c r="D46" s="114">
        <f t="shared" si="1"/>
        <v>108486.67500381885</v>
      </c>
      <c r="E46" s="114">
        <f t="shared" si="2"/>
        <v>108486.67500381885</v>
      </c>
      <c r="F46" s="114">
        <f>'TTS O&amp;M Input'!$C$10*'TTS Calculation Summary'!Y46</f>
        <v>875800.96388235618</v>
      </c>
      <c r="G46" s="114">
        <f>'TTS Calculation Summary'!AA46*2000*'TTS O&amp;M Input'!$C$11</f>
        <v>167825.68049987149</v>
      </c>
      <c r="H46" s="114">
        <f>'TTS Calculation Summary'!AC46*2000*'TTS O&amp;M Input'!$C$12</f>
        <v>4029.3145297034603</v>
      </c>
      <c r="I46" s="114">
        <f>'TTS Calculation Summary'!AD46*'TTS O&amp;M Input'!$C$18+'TTS Calculation Summary'!AE46*'TTS O&amp;M Input'!$C$17+'TTS Calculation Summary'!AF46*'TTS O&amp;M Input'!$C$13+'TTS Calculation Summary'!AH46*'TTS O&amp;M Input'!$C$15+'TTS Calculation Summary'!AI46*'TTS O&amp;M Input'!$C$16+'TTS Calculation Summary'!AG46*'TTS O&amp;M Input'!$C$14</f>
        <v>97815.759781671863</v>
      </c>
      <c r="J46" s="114">
        <f>'TTS Analytical Costs'!P47</f>
        <v>18941</v>
      </c>
      <c r="K46" s="114">
        <f>'TTS Calculation Summary'!AL46*$L$8</f>
        <v>63219.086254982096</v>
      </c>
      <c r="L46" s="115">
        <f t="shared" si="0"/>
        <v>2537063.9224562231</v>
      </c>
    </row>
    <row r="47" spans="1:12" x14ac:dyDescent="0.25">
      <c r="A47" s="113">
        <v>37</v>
      </c>
      <c r="B47" s="114">
        <v>0</v>
      </c>
      <c r="C47" s="114">
        <f>IF('TTS Calculation Summary'!$V47&gt;150000,'TTS Labor'!$B$39,'TTS Labor'!$E$39)*0.9</f>
        <v>1092458.7675000001</v>
      </c>
      <c r="D47" s="114">
        <f t="shared" si="1"/>
        <v>108486.67500381885</v>
      </c>
      <c r="E47" s="114">
        <f t="shared" si="2"/>
        <v>108486.67500381885</v>
      </c>
      <c r="F47" s="114">
        <f>'TTS O&amp;M Input'!$C$10*'TTS Calculation Summary'!Y47</f>
        <v>870627.02672761737</v>
      </c>
      <c r="G47" s="114">
        <f>'TTS Calculation Summary'!AA47*2000*'TTS O&amp;M Input'!$C$11</f>
        <v>167226.56137082327</v>
      </c>
      <c r="H47" s="114">
        <f>'TTS Calculation Summary'!AC47*2000*'TTS O&amp;M Input'!$C$12</f>
        <v>4008.3768132540786</v>
      </c>
      <c r="I47" s="114">
        <f>'TTS Calculation Summary'!AD47*'TTS O&amp;M Input'!$C$18+'TTS Calculation Summary'!AE47*'TTS O&amp;M Input'!$C$17+'TTS Calculation Summary'!AF47*'TTS O&amp;M Input'!$C$13+'TTS Calculation Summary'!AH47*'TTS O&amp;M Input'!$C$15+'TTS Calculation Summary'!AI47*'TTS O&amp;M Input'!$C$16+'TTS Calculation Summary'!AG47*'TTS O&amp;M Input'!$C$14</f>
        <v>97466.568331155839</v>
      </c>
      <c r="J47" s="114">
        <f>'TTS Analytical Costs'!P48</f>
        <v>18941</v>
      </c>
      <c r="K47" s="114">
        <f>'TTS Calculation Summary'!AL47*$L$8</f>
        <v>62993.401104869808</v>
      </c>
      <c r="L47" s="115">
        <f t="shared" si="0"/>
        <v>2530695.0518553578</v>
      </c>
    </row>
    <row r="48" spans="1:12" x14ac:dyDescent="0.25">
      <c r="A48" s="113">
        <v>38</v>
      </c>
      <c r="B48" s="114">
        <v>0</v>
      </c>
      <c r="C48" s="114">
        <f>IF('TTS Calculation Summary'!$V48&gt;150000,'TTS Labor'!$B$39,'TTS Labor'!$E$39)*0.9</f>
        <v>1092458.7675000001</v>
      </c>
      <c r="D48" s="114">
        <f t="shared" ref="D48:D79" si="3">$L$4*$L$5</f>
        <v>108486.67500381885</v>
      </c>
      <c r="E48" s="114">
        <f t="shared" ref="E48:E79" si="4">$L$4*$L$6</f>
        <v>108486.67500381885</v>
      </c>
      <c r="F48" s="114">
        <f>'TTS O&amp;M Input'!$C$10*'TTS Calculation Summary'!Y48</f>
        <v>865622.35021910758</v>
      </c>
      <c r="G48" s="114">
        <f>'TTS Calculation Summary'!AA48*2000*'TTS O&amp;M Input'!$C$11</f>
        <v>166648.61993746893</v>
      </c>
      <c r="H48" s="114">
        <f>'TTS Calculation Summary'!AC48*2000*'TTS O&amp;M Input'!$C$12</f>
        <v>3988.1792043492433</v>
      </c>
      <c r="I48" s="114">
        <f>'TTS Calculation Summary'!AD48*'TTS O&amp;M Input'!$C$18+'TTS Calculation Summary'!AE48*'TTS O&amp;M Input'!$C$17+'TTS Calculation Summary'!AF48*'TTS O&amp;M Input'!$C$13+'TTS Calculation Summary'!AH48*'TTS O&amp;M Input'!$C$15+'TTS Calculation Summary'!AI48*'TTS O&amp;M Input'!$C$16+'TTS Calculation Summary'!AG48*'TTS O&amp;M Input'!$C$14</f>
        <v>97129.720119103469</v>
      </c>
      <c r="J48" s="114">
        <f>'TTS Analytical Costs'!P49</f>
        <v>18941</v>
      </c>
      <c r="K48" s="114">
        <f>'TTS Calculation Summary'!AL48*$L$8</f>
        <v>62775.693485769283</v>
      </c>
      <c r="L48" s="115">
        <f t="shared" si="0"/>
        <v>2524537.6804734366</v>
      </c>
    </row>
    <row r="49" spans="1:12" x14ac:dyDescent="0.25">
      <c r="A49" s="113">
        <v>39</v>
      </c>
      <c r="B49" s="114">
        <v>0</v>
      </c>
      <c r="C49" s="114">
        <f>IF('TTS Calculation Summary'!$V49&gt;150000,'TTS Labor'!$B$39,'TTS Labor'!$E$39)*0.9</f>
        <v>1092458.7675000001</v>
      </c>
      <c r="D49" s="114">
        <f t="shared" si="3"/>
        <v>108486.67500381885</v>
      </c>
      <c r="E49" s="114">
        <f t="shared" si="4"/>
        <v>108486.67500381885</v>
      </c>
      <c r="F49" s="114">
        <f>'TTS O&amp;M Input'!$C$10*'TTS Calculation Summary'!Y49</f>
        <v>860774.25450303487</v>
      </c>
      <c r="G49" s="114">
        <f>'TTS Calculation Summary'!AA49*2000*'TTS O&amp;M Input'!$C$11</f>
        <v>166090.25797501957</v>
      </c>
      <c r="H49" s="114">
        <f>'TTS Calculation Summary'!AC49*2000*'TTS O&amp;M Input'!$C$12</f>
        <v>3968.6658490263071</v>
      </c>
      <c r="I49" s="114">
        <f>'TTS Calculation Summary'!AD49*'TTS O&amp;M Input'!$C$18+'TTS Calculation Summary'!AE49*'TTS O&amp;M Input'!$C$17+'TTS Calculation Summary'!AF49*'TTS O&amp;M Input'!$C$13+'TTS Calculation Summary'!AH49*'TTS O&amp;M Input'!$C$15+'TTS Calculation Summary'!AI49*'TTS O&amp;M Input'!$C$16+'TTS Calculation Summary'!AG49*'TTS O&amp;M Input'!$C$14</f>
        <v>96804.283633891551</v>
      </c>
      <c r="J49" s="114">
        <f>'TTS Analytical Costs'!P50</f>
        <v>18941</v>
      </c>
      <c r="K49" s="114">
        <f>'TTS Calculation Summary'!AL49*$L$8</f>
        <v>62565.361354474182</v>
      </c>
      <c r="L49" s="115">
        <f t="shared" si="0"/>
        <v>2518575.9408230842</v>
      </c>
    </row>
    <row r="50" spans="1:12" x14ac:dyDescent="0.25">
      <c r="A50" s="113">
        <v>40</v>
      </c>
      <c r="B50" s="114">
        <v>0</v>
      </c>
      <c r="C50" s="114">
        <f>IF('TTS Calculation Summary'!$V50&gt;150000,'TTS Labor'!$B$39,'TTS Labor'!$E$39)*0.9</f>
        <v>1092458.7675000001</v>
      </c>
      <c r="D50" s="114">
        <f t="shared" si="3"/>
        <v>108486.67500381885</v>
      </c>
      <c r="E50" s="114">
        <f t="shared" si="4"/>
        <v>108486.67500381885</v>
      </c>
      <c r="F50" s="114">
        <f>'TTS O&amp;M Input'!$C$10*'TTS Calculation Summary'!Y50</f>
        <v>856075.49685383041</v>
      </c>
      <c r="G50" s="114">
        <f>'TTS Calculation Summary'!AA50*2000*'TTS O&amp;M Input'!$C$11</f>
        <v>165550.56734477976</v>
      </c>
      <c r="H50" s="114">
        <f>'TTS Calculation Summary'!AC50*2000*'TTS O&amp;M Input'!$C$12</f>
        <v>3949.8050101071763</v>
      </c>
      <c r="I50" s="114">
        <f>'TTS Calculation Summary'!AD50*'TTS O&amp;M Input'!$C$18+'TTS Calculation Summary'!AE50*'TTS O&amp;M Input'!$C$17+'TTS Calculation Summary'!AF50*'TTS O&amp;M Input'!$C$13+'TTS Calculation Summary'!AH50*'TTS O&amp;M Input'!$C$15+'TTS Calculation Summary'!AI50*'TTS O&amp;M Input'!$C$16+'TTS Calculation Summary'!AG50*'TTS O&amp;M Input'!$C$14</f>
        <v>96489.729574663434</v>
      </c>
      <c r="J50" s="114">
        <f>'TTS Analytical Costs'!P51</f>
        <v>18941</v>
      </c>
      <c r="K50" s="114">
        <f>'TTS Calculation Summary'!AL50*$L$8</f>
        <v>62362.062619724442</v>
      </c>
      <c r="L50" s="115">
        <f t="shared" si="0"/>
        <v>2512800.7789107431</v>
      </c>
    </row>
    <row r="51" spans="1:12" x14ac:dyDescent="0.25">
      <c r="A51" s="113">
        <v>41</v>
      </c>
      <c r="B51" s="114">
        <v>0</v>
      </c>
      <c r="C51" s="114">
        <f>IF('TTS Calculation Summary'!$V51&gt;150000,'TTS Labor'!$B$39,'TTS Labor'!$E$39)*0.9</f>
        <v>1092458.7675000001</v>
      </c>
      <c r="D51" s="114">
        <f t="shared" si="3"/>
        <v>108486.67500381885</v>
      </c>
      <c r="E51" s="114">
        <f t="shared" si="4"/>
        <v>108486.67500381885</v>
      </c>
      <c r="F51" s="114">
        <f>'TTS O&amp;M Input'!$C$10*'TTS Calculation Summary'!Y51</f>
        <v>851517.72066552273</v>
      </c>
      <c r="G51" s="114">
        <f>'TTS Calculation Summary'!AA51*2000*'TTS O&amp;M Input'!$C$11</f>
        <v>165028.43470797926</v>
      </c>
      <c r="H51" s="114">
        <f>'TTS Calculation Summary'!AC51*2000*'TTS O&amp;M Input'!$C$12</f>
        <v>3931.5577791838969</v>
      </c>
      <c r="I51" s="114">
        <f>'TTS Calculation Summary'!AD51*'TTS O&amp;M Input'!$C$18+'TTS Calculation Summary'!AE51*'TTS O&amp;M Input'!$C$17+'TTS Calculation Summary'!AF51*'TTS O&amp;M Input'!$C$13+'TTS Calculation Summary'!AH51*'TTS O&amp;M Input'!$C$15+'TTS Calculation Summary'!AI51*'TTS O&amp;M Input'!$C$16+'TTS Calculation Summary'!AG51*'TTS O&amp;M Input'!$C$14</f>
        <v>96185.409041457024</v>
      </c>
      <c r="J51" s="114">
        <f>'TTS Analytical Costs'!P52</f>
        <v>18941</v>
      </c>
      <c r="K51" s="114">
        <f>'TTS Calculation Summary'!AL51*$L$8</f>
        <v>62165.377892428151</v>
      </c>
      <c r="L51" s="115">
        <f t="shared" si="0"/>
        <v>2507201.617594209</v>
      </c>
    </row>
    <row r="52" spans="1:12" x14ac:dyDescent="0.25">
      <c r="A52" s="113">
        <v>42</v>
      </c>
      <c r="B52" s="114">
        <v>0</v>
      </c>
      <c r="C52" s="114">
        <f>IF('TTS Calculation Summary'!$V52&gt;150000,'TTS Labor'!$B$39,'TTS Labor'!$E$39)*0.8</f>
        <v>971074.46</v>
      </c>
      <c r="D52" s="114">
        <f t="shared" si="3"/>
        <v>108486.67500381885</v>
      </c>
      <c r="E52" s="114">
        <f t="shared" si="4"/>
        <v>108486.67500381885</v>
      </c>
      <c r="F52" s="114">
        <f>'TTS O&amp;M Input'!$C$10*'TTS Calculation Summary'!Y52</f>
        <v>847095.52739410475</v>
      </c>
      <c r="G52" s="114">
        <f>'TTS Calculation Summary'!AA52*2000*'TTS O&amp;M Input'!$C$11</f>
        <v>164523.18422301186</v>
      </c>
      <c r="H52" s="114">
        <f>'TTS Calculation Summary'!AC52*2000*'TTS O&amp;M Input'!$C$12</f>
        <v>3913.9005372811635</v>
      </c>
      <c r="I52" s="114">
        <f>'TTS Calculation Summary'!AD52*'TTS O&amp;M Input'!$C$18+'TTS Calculation Summary'!AE52*'TTS O&amp;M Input'!$C$17+'TTS Calculation Summary'!AF52*'TTS O&amp;M Input'!$C$13+'TTS Calculation Summary'!AH52*'TTS O&amp;M Input'!$C$15+'TTS Calculation Summary'!AI52*'TTS O&amp;M Input'!$C$16+'TTS Calculation Summary'!AG52*'TTS O&amp;M Input'!$C$14</f>
        <v>95890.928125783481</v>
      </c>
      <c r="J52" s="114">
        <f>'TTS Analytical Costs'!P53</f>
        <v>18941</v>
      </c>
      <c r="K52" s="114">
        <f>'TTS Calculation Summary'!AL52*$L$8</f>
        <v>61975.052586465536</v>
      </c>
      <c r="L52" s="115">
        <f t="shared" si="0"/>
        <v>2380387.4028742849</v>
      </c>
    </row>
    <row r="53" spans="1:12" x14ac:dyDescent="0.25">
      <c r="A53" s="113">
        <v>43</v>
      </c>
      <c r="B53" s="114">
        <v>0</v>
      </c>
      <c r="C53" s="114">
        <f>IF('TTS Calculation Summary'!$V53&gt;150000,'TTS Labor'!$B$39,'TTS Labor'!$E$39)*0.8</f>
        <v>971074.46</v>
      </c>
      <c r="D53" s="114">
        <f t="shared" si="3"/>
        <v>108486.67500381885</v>
      </c>
      <c r="E53" s="114">
        <f t="shared" si="4"/>
        <v>108486.67500381885</v>
      </c>
      <c r="F53" s="114">
        <f>'TTS O&amp;M Input'!$C$10*'TTS Calculation Summary'!Y53</f>
        <v>842801.83257459162</v>
      </c>
      <c r="G53" s="114">
        <f>'TTS Calculation Summary'!AA53*2000*'TTS O&amp;M Input'!$C$11</f>
        <v>164034.00960713407</v>
      </c>
      <c r="H53" s="114">
        <f>'TTS Calculation Summary'!AC53*2000*'TTS O&amp;M Input'!$C$12</f>
        <v>3896.8051068318687</v>
      </c>
      <c r="I53" s="114">
        <f>'TTS Calculation Summary'!AD53*'TTS O&amp;M Input'!$C$18+'TTS Calculation Summary'!AE53*'TTS O&amp;M Input'!$C$17+'TTS Calculation Summary'!AF53*'TTS O&amp;M Input'!$C$13+'TTS Calculation Summary'!AH53*'TTS O&amp;M Input'!$C$15+'TTS Calculation Summary'!AI53*'TTS O&amp;M Input'!$C$16+'TTS Calculation Summary'!AG53*'TTS O&amp;M Input'!$C$14</f>
        <v>95605.816892654664</v>
      </c>
      <c r="J53" s="114">
        <f>'TTS Analytical Costs'!P54</f>
        <v>18941</v>
      </c>
      <c r="K53" s="114">
        <f>'TTS Calculation Summary'!AL53*$L$8</f>
        <v>61790.782979199124</v>
      </c>
      <c r="L53" s="115">
        <f t="shared" si="0"/>
        <v>2375118.0571680488</v>
      </c>
    </row>
    <row r="54" spans="1:12" x14ac:dyDescent="0.25">
      <c r="A54" s="113">
        <v>44</v>
      </c>
      <c r="B54" s="114">
        <v>0</v>
      </c>
      <c r="C54" s="114">
        <f>IF('TTS Calculation Summary'!$V54&gt;150000,'TTS Labor'!$B$39,'TTS Labor'!$E$39)*0.8</f>
        <v>971074.46</v>
      </c>
      <c r="D54" s="114">
        <f t="shared" si="3"/>
        <v>108486.67500381885</v>
      </c>
      <c r="E54" s="114">
        <f t="shared" si="4"/>
        <v>108486.67500381885</v>
      </c>
      <c r="F54" s="114">
        <f>'TTS O&amp;M Input'!$C$10*'TTS Calculation Summary'!Y54</f>
        <v>838631.62598358106</v>
      </c>
      <c r="G54" s="114">
        <f>'TTS Calculation Summary'!AA54*2000*'TTS O&amp;M Input'!$C$11</f>
        <v>163560.21030658958</v>
      </c>
      <c r="H54" s="114">
        <f>'TTS Calculation Summary'!AC54*2000*'TTS O&amp;M Input'!$C$12</f>
        <v>3880.2470052328194</v>
      </c>
      <c r="I54" s="114">
        <f>'TTS Calculation Summary'!AD54*'TTS O&amp;M Input'!$C$18+'TTS Calculation Summary'!AE54*'TTS O&amp;M Input'!$C$17+'TTS Calculation Summary'!AF54*'TTS O&amp;M Input'!$C$13+'TTS Calculation Summary'!AH54*'TTS O&amp;M Input'!$C$15+'TTS Calculation Summary'!AI54*'TTS O&amp;M Input'!$C$16+'TTS Calculation Summary'!AG54*'TTS O&amp;M Input'!$C$14</f>
        <v>95329.667030316923</v>
      </c>
      <c r="J54" s="114">
        <f>'TTS Analytical Costs'!P55</f>
        <v>18941</v>
      </c>
      <c r="K54" s="114">
        <f>'TTS Calculation Summary'!AL54*$L$8</f>
        <v>61612.305175567082</v>
      </c>
      <c r="L54" s="115">
        <f t="shared" si="0"/>
        <v>2370002.8655089247</v>
      </c>
    </row>
    <row r="55" spans="1:12" x14ac:dyDescent="0.25">
      <c r="A55" s="113">
        <v>45</v>
      </c>
      <c r="B55" s="114">
        <v>0</v>
      </c>
      <c r="C55" s="114">
        <f>IF('TTS Calculation Summary'!$V55&gt;150000,'TTS Labor'!$B$39,'TTS Labor'!$E$39)*0.8</f>
        <v>971074.46</v>
      </c>
      <c r="D55" s="114">
        <f t="shared" si="3"/>
        <v>108486.67500381885</v>
      </c>
      <c r="E55" s="114">
        <f t="shared" si="4"/>
        <v>108486.67500381885</v>
      </c>
      <c r="F55" s="114">
        <f>'TTS O&amp;M Input'!$C$10*'TTS Calculation Summary'!Y55</f>
        <v>834578.31881856476</v>
      </c>
      <c r="G55" s="114">
        <f>'TTS Calculation Summary'!AA55*2000*'TTS O&amp;M Input'!$C$11</f>
        <v>163101.0036252526</v>
      </c>
      <c r="H55" s="114">
        <f>'TTS Calculation Summary'!AC55*2000*'TTS O&amp;M Input'!$C$12</f>
        <v>3864.1988792102529</v>
      </c>
      <c r="I55" s="114">
        <f>'TTS Calculation Summary'!AD55*'TTS O&amp;M Input'!$C$18+'TTS Calculation Summary'!AE55*'TTS O&amp;M Input'!$C$17+'TTS Calculation Summary'!AF55*'TTS O&amp;M Input'!$C$13+'TTS Calculation Summary'!AH55*'TTS O&amp;M Input'!$C$15+'TTS Calculation Summary'!AI55*'TTS O&amp;M Input'!$C$16+'TTS Calculation Summary'!AG55*'TTS O&amp;M Input'!$C$14</f>
        <v>95062.022351040097</v>
      </c>
      <c r="J55" s="114">
        <f>'TTS Analytical Costs'!P56</f>
        <v>18941</v>
      </c>
      <c r="K55" s="114">
        <f>'TTS Calculation Summary'!AL55*$L$8</f>
        <v>61439.324337891703</v>
      </c>
      <c r="L55" s="115">
        <f t="shared" si="0"/>
        <v>2365033.6780195972</v>
      </c>
    </row>
    <row r="56" spans="1:12" x14ac:dyDescent="0.25">
      <c r="A56" s="113">
        <v>46</v>
      </c>
      <c r="B56" s="114">
        <v>0</v>
      </c>
      <c r="C56" s="114">
        <f>IF('TTS Calculation Summary'!$V56&gt;150000,'TTS Labor'!$B$39,'TTS Labor'!$E$39)*0.8</f>
        <v>971074.46</v>
      </c>
      <c r="D56" s="114">
        <f t="shared" si="3"/>
        <v>108486.67500381885</v>
      </c>
      <c r="E56" s="114">
        <f t="shared" si="4"/>
        <v>108486.67500381885</v>
      </c>
      <c r="F56" s="114">
        <f>'TTS O&amp;M Input'!$C$10*'TTS Calculation Summary'!Y56</f>
        <v>830633.92938457942</v>
      </c>
      <c r="G56" s="114">
        <f>'TTS Calculation Summary'!AA56*2000*'TTS O&amp;M Input'!$C$11</f>
        <v>162655.29310414614</v>
      </c>
      <c r="H56" s="114">
        <f>'TTS Calculation Summary'!AC56*2000*'TTS O&amp;M Input'!$C$12</f>
        <v>3848.6224102628189</v>
      </c>
      <c r="I56" s="114">
        <f>'TTS Calculation Summary'!AD56*'TTS O&amp;M Input'!$C$18+'TTS Calculation Summary'!AE56*'TTS O&amp;M Input'!$C$17+'TTS Calculation Summary'!AF56*'TTS O&amp;M Input'!$C$13+'TTS Calculation Summary'!AH56*'TTS O&amp;M Input'!$C$15+'TTS Calculation Summary'!AI56*'TTS O&amp;M Input'!$C$16+'TTS Calculation Summary'!AG56*'TTS O&amp;M Input'!$C$14</f>
        <v>94802.243793105124</v>
      </c>
      <c r="J56" s="114">
        <f>'TTS Analytical Costs'!P57</f>
        <v>18941</v>
      </c>
      <c r="K56" s="114">
        <f>'TTS Calculation Summary'!AL56*$L$8</f>
        <v>61271.427435613958</v>
      </c>
      <c r="L56" s="115">
        <f t="shared" si="0"/>
        <v>2360200.3261353457</v>
      </c>
    </row>
    <row r="57" spans="1:12" x14ac:dyDescent="0.25">
      <c r="A57" s="113">
        <v>47</v>
      </c>
      <c r="B57" s="114">
        <v>0</v>
      </c>
      <c r="C57" s="114">
        <f>IF('TTS Calculation Summary'!$V57&gt;150000,'TTS Labor'!$B$39,'TTS Labor'!$E$39)*0.8</f>
        <v>971074.46</v>
      </c>
      <c r="D57" s="114">
        <f t="shared" si="3"/>
        <v>108486.67500381885</v>
      </c>
      <c r="E57" s="114">
        <f t="shared" si="4"/>
        <v>108486.67500381885</v>
      </c>
      <c r="F57" s="114">
        <f>'TTS O&amp;M Input'!$C$10*'TTS Calculation Summary'!Y57</f>
        <v>826798.45765786653</v>
      </c>
      <c r="G57" s="114">
        <f>'TTS Calculation Summary'!AA57*2000*'TTS O&amp;M Input'!$C$11</f>
        <v>162223.13481471929</v>
      </c>
      <c r="H57" s="114">
        <f>'TTS Calculation Summary'!AC57*2000*'TTS O&amp;M Input'!$C$12</f>
        <v>3833.5195579475494</v>
      </c>
      <c r="I57" s="114">
        <f>'TTS Calculation Summary'!AD57*'TTS O&amp;M Input'!$C$18+'TTS Calculation Summary'!AE57*'TTS O&amp;M Input'!$C$17+'TTS Calculation Summary'!AF57*'TTS O&amp;M Input'!$C$13+'TTS Calculation Summary'!AH57*'TTS O&amp;M Input'!$C$15+'TTS Calculation Summary'!AI57*'TTS O&amp;M Input'!$C$16+'TTS Calculation Summary'!AG57*'TTS O&amp;M Input'!$C$14</f>
        <v>94550.36403727562</v>
      </c>
      <c r="J57" s="114">
        <f>'TTS Analytical Costs'!P58</f>
        <v>18941</v>
      </c>
      <c r="K57" s="114">
        <f>'TTS Calculation Summary'!AL57*$L$8</f>
        <v>61108.635590565558</v>
      </c>
      <c r="L57" s="115">
        <f t="shared" si="0"/>
        <v>2355502.9216660126</v>
      </c>
    </row>
    <row r="58" spans="1:12" x14ac:dyDescent="0.25">
      <c r="A58" s="113">
        <v>48</v>
      </c>
      <c r="B58" s="114">
        <v>0</v>
      </c>
      <c r="C58" s="114">
        <f>IF('TTS Calculation Summary'!$V58&gt;150000,'TTS Labor'!$B$39,'TTS Labor'!$E$39)*0.8</f>
        <v>971074.46</v>
      </c>
      <c r="D58" s="114">
        <f t="shared" si="3"/>
        <v>108486.67500381885</v>
      </c>
      <c r="E58" s="114">
        <f t="shared" si="4"/>
        <v>108486.67500381885</v>
      </c>
      <c r="F58" s="114">
        <f>'TTS O&amp;M Input'!$C$10*'TTS Calculation Summary'!Y58</f>
        <v>823055.24158712593</v>
      </c>
      <c r="G58" s="114">
        <f>'TTS Calculation Summary'!AA58*2000*'TTS O&amp;M Input'!$C$11</f>
        <v>161802.30699059839</v>
      </c>
      <c r="H58" s="114">
        <f>'TTS Calculation Summary'!AC58*2000*'TTS O&amp;M Input'!$C$12</f>
        <v>3818.8126770815502</v>
      </c>
      <c r="I58" s="114">
        <f>'TTS Calculation Summary'!AD58*'TTS O&amp;M Input'!$C$18+'TTS Calculation Summary'!AE58*'TTS O&amp;M Input'!$C$17+'TTS Calculation Summary'!AF58*'TTS O&amp;M Input'!$C$13+'TTS Calculation Summary'!AH58*'TTS O&amp;M Input'!$C$15+'TTS Calculation Summary'!AI58*'TTS O&amp;M Input'!$C$16+'TTS Calculation Summary'!AG58*'TTS O&amp;M Input'!$C$14</f>
        <v>94305.088146058915</v>
      </c>
      <c r="J58" s="114">
        <f>'TTS Analytical Costs'!P59</f>
        <v>18941</v>
      </c>
      <c r="K58" s="114">
        <f>'TTS Calculation Summary'!AL58*$L$8</f>
        <v>60950.111874574337</v>
      </c>
      <c r="L58" s="115">
        <f t="shared" si="0"/>
        <v>2350920.3712830772</v>
      </c>
    </row>
    <row r="59" spans="1:12" x14ac:dyDescent="0.25">
      <c r="A59" s="113">
        <v>49</v>
      </c>
      <c r="B59" s="114">
        <v>0</v>
      </c>
      <c r="C59" s="114">
        <f>IF('TTS Calculation Summary'!$V59&gt;150000,'TTS Labor'!$B$39,'TTS Labor'!$E$39)*0.8</f>
        <v>971074.46</v>
      </c>
      <c r="D59" s="114">
        <f t="shared" si="3"/>
        <v>108486.67500381885</v>
      </c>
      <c r="E59" s="114">
        <f t="shared" si="4"/>
        <v>108486.67500381885</v>
      </c>
      <c r="F59" s="114">
        <f>'TTS O&amp;M Input'!$C$10*'TTS Calculation Summary'!Y59</f>
        <v>819408.60528911685</v>
      </c>
      <c r="G59" s="114">
        <f>'TTS Calculation Summary'!AA59*2000*'TTS O&amp;M Input'!$C$11</f>
        <v>161393.45054836757</v>
      </c>
      <c r="H59" s="114">
        <f>'TTS Calculation Summary'!AC59*2000*'TTS O&amp;M Input'!$C$12</f>
        <v>3804.5241660978791</v>
      </c>
      <c r="I59" s="114">
        <f>'TTS Calculation Summary'!AD59*'TTS O&amp;M Input'!$C$18+'TTS Calculation Summary'!AE59*'TTS O&amp;M Input'!$C$17+'TTS Calculation Summary'!AF59*'TTS O&amp;M Input'!$C$13+'TTS Calculation Summary'!AH59*'TTS O&amp;M Input'!$C$15+'TTS Calculation Summary'!AI59*'TTS O&amp;M Input'!$C$16+'TTS Calculation Summary'!AG59*'TTS O&amp;M Input'!$C$14</f>
        <v>94066.789672194122</v>
      </c>
      <c r="J59" s="114">
        <f>'TTS Analytical Costs'!P60</f>
        <v>18941</v>
      </c>
      <c r="K59" s="114">
        <f>'TTS Calculation Summary'!AL59*$L$8</f>
        <v>60796.097717680648</v>
      </c>
      <c r="L59" s="115">
        <f t="shared" si="0"/>
        <v>2346458.2774010948</v>
      </c>
    </row>
    <row r="60" spans="1:12" x14ac:dyDescent="0.25">
      <c r="A60" s="113">
        <v>50</v>
      </c>
      <c r="B60" s="114">
        <v>0</v>
      </c>
      <c r="C60" s="114">
        <f>IF('TTS Calculation Summary'!$V60&gt;150000,'TTS Labor'!$B$39,'TTS Labor'!$E$39)*0.8</f>
        <v>971074.46</v>
      </c>
      <c r="D60" s="114">
        <f t="shared" si="3"/>
        <v>108486.67500381885</v>
      </c>
      <c r="E60" s="114">
        <f t="shared" si="4"/>
        <v>108486.67500381885</v>
      </c>
      <c r="F60" s="114">
        <f>'TTS O&amp;M Input'!$C$10*'TTS Calculation Summary'!Y60</f>
        <v>814712.73908014176</v>
      </c>
      <c r="G60" s="114">
        <f>'TTS Calculation Summary'!AA60*2000*'TTS O&amp;M Input'!$C$11</f>
        <v>160828.70006809951</v>
      </c>
      <c r="H60" s="114">
        <f>'TTS Calculation Summary'!AC60*2000*'TTS O&amp;M Input'!$C$12</f>
        <v>3784.7875480411521</v>
      </c>
      <c r="I60" s="114">
        <f>'TTS Calculation Summary'!AD60*'TTS O&amp;M Input'!$C$18+'TTS Calculation Summary'!AE60*'TTS O&amp;M Input'!$C$17+'TTS Calculation Summary'!AF60*'TTS O&amp;M Input'!$C$13+'TTS Calculation Summary'!AH60*'TTS O&amp;M Input'!$C$15+'TTS Calculation Summary'!AI60*'TTS O&amp;M Input'!$C$16+'TTS Calculation Summary'!AG60*'TTS O&amp;M Input'!$C$14</f>
        <v>93737.629694114803</v>
      </c>
      <c r="J60" s="114">
        <f>'TTS Analytical Costs'!P61</f>
        <v>18941</v>
      </c>
      <c r="K60" s="114">
        <f>'TTS Calculation Summary'!AL60*$L$8</f>
        <v>60583.359063987926</v>
      </c>
      <c r="L60" s="115">
        <f t="shared" si="0"/>
        <v>2340636.025462023</v>
      </c>
    </row>
    <row r="61" spans="1:12" x14ac:dyDescent="0.25">
      <c r="A61" s="113">
        <v>51</v>
      </c>
      <c r="B61" s="114">
        <v>0</v>
      </c>
      <c r="C61" s="114">
        <f>IF('TTS Calculation Summary'!$V61&gt;150000,'TTS Labor'!$B$39,'TTS Labor'!$E$39)*0.8</f>
        <v>971074.46</v>
      </c>
      <c r="D61" s="114">
        <f t="shared" si="3"/>
        <v>108486.67500381885</v>
      </c>
      <c r="E61" s="114">
        <f t="shared" si="4"/>
        <v>108486.67500381885</v>
      </c>
      <c r="F61" s="114">
        <f>'TTS O&amp;M Input'!$C$10*'TTS Calculation Summary'!Y61</f>
        <v>810616.5834490041</v>
      </c>
      <c r="G61" s="114">
        <f>'TTS Calculation Summary'!AA61*2000*'TTS O&amp;M Input'!$C$11</f>
        <v>159772.47562820825</v>
      </c>
      <c r="H61" s="114">
        <f>'TTS Calculation Summary'!AC61*2000*'TTS O&amp;M Input'!$C$12</f>
        <v>3747.8751432169511</v>
      </c>
      <c r="I61" s="114">
        <f>'TTS Calculation Summary'!AD61*'TTS O&amp;M Input'!$C$18+'TTS Calculation Summary'!AE61*'TTS O&amp;M Input'!$C$17+'TTS Calculation Summary'!AF61*'TTS O&amp;M Input'!$C$13+'TTS Calculation Summary'!AH61*'TTS O&amp;M Input'!$C$15+'TTS Calculation Summary'!AI61*'TTS O&amp;M Input'!$C$16+'TTS Calculation Summary'!AG61*'TTS O&amp;M Input'!$C$14</f>
        <v>93122.018330107763</v>
      </c>
      <c r="J61" s="114">
        <f>'TTS Analytical Costs'!P62</f>
        <v>18941</v>
      </c>
      <c r="K61" s="114">
        <f>'TTS Calculation Summary'!AL61*$L$8</f>
        <v>60185.48465185253</v>
      </c>
      <c r="L61" s="115">
        <f t="shared" si="0"/>
        <v>2334433.2472100276</v>
      </c>
    </row>
    <row r="62" spans="1:12" x14ac:dyDescent="0.25">
      <c r="A62" s="113">
        <v>52</v>
      </c>
      <c r="B62" s="114">
        <v>0</v>
      </c>
      <c r="C62" s="114">
        <f>IF('TTS Calculation Summary'!$V62&gt;150000,'TTS Labor'!$B$39,'TTS Labor'!$E$39)*0.8</f>
        <v>971074.46</v>
      </c>
      <c r="D62" s="114">
        <f t="shared" si="3"/>
        <v>108486.67500381885</v>
      </c>
      <c r="E62" s="114">
        <f t="shared" si="4"/>
        <v>108486.67500381885</v>
      </c>
      <c r="F62" s="114">
        <f>'TTS O&amp;M Input'!$C$10*'TTS Calculation Summary'!Y62</f>
        <v>807899.03726702137</v>
      </c>
      <c r="G62" s="114">
        <f>'TTS Calculation Summary'!AA62*2000*'TTS O&amp;M Input'!$C$11</f>
        <v>159414.63384315147</v>
      </c>
      <c r="H62" s="114">
        <f>'TTS Calculation Summary'!AC62*2000*'TTS O&amp;M Input'!$C$12</f>
        <v>3735.3694670233658</v>
      </c>
      <c r="I62" s="114">
        <f>'TTS Calculation Summary'!AD62*'TTS O&amp;M Input'!$C$18+'TTS Calculation Summary'!AE62*'TTS O&amp;M Input'!$C$17+'TTS Calculation Summary'!AF62*'TTS O&amp;M Input'!$C$13+'TTS Calculation Summary'!AH62*'TTS O&amp;M Input'!$C$15+'TTS Calculation Summary'!AI62*'TTS O&amp;M Input'!$C$16+'TTS Calculation Summary'!AG62*'TTS O&amp;M Input'!$C$14</f>
        <v>92913.453312032449</v>
      </c>
      <c r="J62" s="114">
        <f>'TTS Analytical Costs'!P63</f>
        <v>18941</v>
      </c>
      <c r="K62" s="114">
        <f>'TTS Calculation Summary'!AL62*$L$8</f>
        <v>60050.687458671135</v>
      </c>
      <c r="L62" s="115">
        <f t="shared" si="0"/>
        <v>2331001.9913555374</v>
      </c>
    </row>
    <row r="63" spans="1:12" x14ac:dyDescent="0.25">
      <c r="A63" s="113">
        <v>53</v>
      </c>
      <c r="B63" s="114">
        <v>0</v>
      </c>
      <c r="C63" s="114">
        <f>IF('TTS Calculation Summary'!$V63&gt;150000,'TTS Labor'!$B$39,'TTS Labor'!$E$39)*0.8</f>
        <v>971074.46</v>
      </c>
      <c r="D63" s="114">
        <f t="shared" si="3"/>
        <v>108486.67500381885</v>
      </c>
      <c r="E63" s="114">
        <f t="shared" si="4"/>
        <v>108486.67500381885</v>
      </c>
      <c r="F63" s="114">
        <f>'TTS O&amp;M Input'!$C$10*'TTS Calculation Summary'!Y63</f>
        <v>805249.4901237468</v>
      </c>
      <c r="G63" s="114">
        <f>'TTS Calculation Summary'!AA63*2000*'TTS O&amp;M Input'!$C$11</f>
        <v>159065.97138831488</v>
      </c>
      <c r="H63" s="114">
        <f>'TTS Calculation Summary'!AC63*2000*'TTS O&amp;M Input'!$C$12</f>
        <v>3723.1845854831763</v>
      </c>
      <c r="I63" s="114">
        <f>'TTS Calculation Summary'!AD63*'TTS O&amp;M Input'!$C$18+'TTS Calculation Summary'!AE63*'TTS O&amp;M Input'!$C$17+'TTS Calculation Summary'!AF63*'TTS O&amp;M Input'!$C$13+'TTS Calculation Summary'!AH63*'TTS O&amp;M Input'!$C$15+'TTS Calculation Summary'!AI63*'TTS O&amp;M Input'!$C$16+'TTS Calculation Summary'!AG63*'TTS O&amp;M Input'!$C$14</f>
        <v>92710.238387918274</v>
      </c>
      <c r="J63" s="114">
        <f>'TTS Analytical Costs'!P64</f>
        <v>18941</v>
      </c>
      <c r="K63" s="114">
        <f>'TTS Calculation Summary'!AL63*$L$8</f>
        <v>59919.348072824243</v>
      </c>
      <c r="L63" s="115">
        <f t="shared" si="0"/>
        <v>2327657.042565925</v>
      </c>
    </row>
    <row r="64" spans="1:12" x14ac:dyDescent="0.25">
      <c r="A64" s="113">
        <v>54</v>
      </c>
      <c r="B64" s="114">
        <v>0</v>
      </c>
      <c r="C64" s="114">
        <f>IF('TTS Calculation Summary'!$V64&gt;150000,'TTS Labor'!$B$39,'TTS Labor'!$E$39)*0.8</f>
        <v>971074.46</v>
      </c>
      <c r="D64" s="114">
        <f t="shared" si="3"/>
        <v>108486.67500381885</v>
      </c>
      <c r="E64" s="114">
        <f t="shared" si="4"/>
        <v>108486.67500381885</v>
      </c>
      <c r="F64" s="114">
        <f>'TTS O&amp;M Input'!$C$10*'TTS Calculation Summary'!Y64</f>
        <v>802668.4487595869</v>
      </c>
      <c r="G64" s="114">
        <f>'TTS Calculation Summary'!AA64*2000*'TTS O&amp;M Input'!$C$11</f>
        <v>158726.52099147634</v>
      </c>
      <c r="H64" s="114">
        <f>'TTS Calculation Summary'!AC64*2000*'TTS O&amp;M Input'!$C$12</f>
        <v>3711.3216423504387</v>
      </c>
      <c r="I64" s="114">
        <f>'TTS Calculation Summary'!AD64*'TTS O&amp;M Input'!$C$18+'TTS Calculation Summary'!AE64*'TTS O&amp;M Input'!$C$17+'TTS Calculation Summary'!AF64*'TTS O&amp;M Input'!$C$13+'TTS Calculation Summary'!AH64*'TTS O&amp;M Input'!$C$15+'TTS Calculation Summary'!AI64*'TTS O&amp;M Input'!$C$16+'TTS Calculation Summary'!AG64*'TTS O&amp;M Input'!$C$14</f>
        <v>92512.392632870251</v>
      </c>
      <c r="J64" s="114">
        <f>'TTS Analytical Costs'!P65</f>
        <v>18941</v>
      </c>
      <c r="K64" s="114">
        <f>'TTS Calculation Summary'!AL64*$L$8</f>
        <v>59791.478822700527</v>
      </c>
      <c r="L64" s="115">
        <f t="shared" si="0"/>
        <v>2324398.9728566227</v>
      </c>
    </row>
    <row r="65" spans="1:12" x14ac:dyDescent="0.25">
      <c r="A65" s="113">
        <v>55</v>
      </c>
      <c r="B65" s="114">
        <v>0</v>
      </c>
      <c r="C65" s="114">
        <f>IF('TTS Calculation Summary'!$V65&gt;150000,'TTS Labor'!$B$39,'TTS Labor'!$E$39)*0.8</f>
        <v>971074.46</v>
      </c>
      <c r="D65" s="114">
        <f t="shared" si="3"/>
        <v>108486.67500381885</v>
      </c>
      <c r="E65" s="114">
        <f t="shared" si="4"/>
        <v>108486.67500381885</v>
      </c>
      <c r="F65" s="114">
        <f>'TTS O&amp;M Input'!$C$10*'TTS Calculation Summary'!Y65</f>
        <v>800151.81091739703</v>
      </c>
      <c r="G65" s="114">
        <f>'TTS Calculation Summary'!AA65*2000*'TTS O&amp;M Input'!$C$11</f>
        <v>158395.84107022127</v>
      </c>
      <c r="H65" s="114">
        <f>'TTS Calculation Summary'!AC65*2000*'TTS O&amp;M Input'!$C$12</f>
        <v>3699.7652054232099</v>
      </c>
      <c r="I65" s="114">
        <f>'TTS Calculation Summary'!AD65*'TTS O&amp;M Input'!$C$18+'TTS Calculation Summary'!AE65*'TTS O&amp;M Input'!$C$17+'TTS Calculation Summary'!AF65*'TTS O&amp;M Input'!$C$13+'TTS Calculation Summary'!AH65*'TTS O&amp;M Input'!$C$15+'TTS Calculation Summary'!AI65*'TTS O&amp;M Input'!$C$16+'TTS Calculation Summary'!AG65*'TTS O&amp;M Input'!$C$14</f>
        <v>92319.658674361854</v>
      </c>
      <c r="J65" s="114">
        <f>'TTS Analytical Costs'!P66</f>
        <v>18941</v>
      </c>
      <c r="K65" s="114">
        <f>'TTS Calculation Summary'!AL65*$L$8</f>
        <v>59666.91336643455</v>
      </c>
      <c r="L65" s="115">
        <f t="shared" si="0"/>
        <v>2321222.7992414758</v>
      </c>
    </row>
    <row r="66" spans="1:12" x14ac:dyDescent="0.25">
      <c r="A66" s="113">
        <v>56</v>
      </c>
      <c r="B66" s="114">
        <v>0</v>
      </c>
      <c r="C66" s="114">
        <f>IF('TTS Calculation Summary'!$V66&gt;150000,'TTS Labor'!$B$39,'TTS Labor'!$E$39)*0.8</f>
        <v>971074.46</v>
      </c>
      <c r="D66" s="114">
        <f t="shared" si="3"/>
        <v>108486.67500381885</v>
      </c>
      <c r="E66" s="114">
        <f t="shared" si="4"/>
        <v>108486.67500381885</v>
      </c>
      <c r="F66" s="114">
        <f>'TTS O&amp;M Input'!$C$10*'TTS Calculation Summary'!Y66</f>
        <v>797697.02003978647</v>
      </c>
      <c r="G66" s="114">
        <f>'TTS Calculation Summary'!AA66*2000*'TTS O&amp;M Input'!$C$11</f>
        <v>158073.51537969144</v>
      </c>
      <c r="H66" s="114">
        <f>'TTS Calculation Summary'!AC66*2000*'TTS O&amp;M Input'!$C$12</f>
        <v>3688.5007279838283</v>
      </c>
      <c r="I66" s="114">
        <f>'TTS Calculation Summary'!AD66*'TTS O&amp;M Input'!$C$18+'TTS Calculation Summary'!AE66*'TTS O&amp;M Input'!$C$17+'TTS Calculation Summary'!AF66*'TTS O&amp;M Input'!$C$13+'TTS Calculation Summary'!AH66*'TTS O&amp;M Input'!$C$15+'TTS Calculation Summary'!AI66*'TTS O&amp;M Input'!$C$16+'TTS Calculation Summary'!AG66*'TTS O&amp;M Input'!$C$14</f>
        <v>92131.793907644256</v>
      </c>
      <c r="J66" s="114">
        <f>'TTS Analytical Costs'!P67</f>
        <v>18941</v>
      </c>
      <c r="K66" s="114">
        <f>'TTS Calculation Summary'!AL66*$L$8</f>
        <v>59545.49490669043</v>
      </c>
      <c r="L66" s="115">
        <f t="shared" si="0"/>
        <v>2318125.1349694342</v>
      </c>
    </row>
    <row r="67" spans="1:12" x14ac:dyDescent="0.25">
      <c r="A67" s="113">
        <v>57</v>
      </c>
      <c r="B67" s="114">
        <v>0</v>
      </c>
      <c r="C67" s="114">
        <f>IF('TTS Calculation Summary'!$V67&gt;150000,'TTS Labor'!$B$39,'TTS Labor'!$E$39)*0.8</f>
        <v>971074.46</v>
      </c>
      <c r="D67" s="114">
        <f t="shared" si="3"/>
        <v>108486.67500381885</v>
      </c>
      <c r="E67" s="114">
        <f t="shared" si="4"/>
        <v>108486.67500381885</v>
      </c>
      <c r="F67" s="114">
        <f>'TTS O&amp;M Input'!$C$10*'TTS Calculation Summary'!Y67</f>
        <v>795304.41550386604</v>
      </c>
      <c r="G67" s="114">
        <f>'TTS Calculation Summary'!AA67*2000*'TTS O&amp;M Input'!$C$11</f>
        <v>157759.65908247896</v>
      </c>
      <c r="H67" s="114">
        <f>'TTS Calculation Summary'!AC67*2000*'TTS O&amp;M Input'!$C$12</f>
        <v>3677.5322346771172</v>
      </c>
      <c r="I67" s="114">
        <f>'TTS Calculation Summary'!AD67*'TTS O&amp;M Input'!$C$18+'TTS Calculation Summary'!AE67*'TTS O&amp;M Input'!$C$17+'TTS Calculation Summary'!AF67*'TTS O&amp;M Input'!$C$13+'TTS Calculation Summary'!AH67*'TTS O&amp;M Input'!$C$15+'TTS Calculation Summary'!AI67*'TTS O&amp;M Input'!$C$16+'TTS Calculation Summary'!AG67*'TTS O&amp;M Input'!$C$14</f>
        <v>91948.865454247498</v>
      </c>
      <c r="J67" s="114">
        <f>'TTS Analytical Costs'!P68</f>
        <v>18941</v>
      </c>
      <c r="K67" s="114">
        <f>'TTS Calculation Summary'!AL67*$L$8</f>
        <v>59427.266824635008</v>
      </c>
      <c r="L67" s="115">
        <f t="shared" si="0"/>
        <v>2315106.5491075427</v>
      </c>
    </row>
    <row r="68" spans="1:12" x14ac:dyDescent="0.25">
      <c r="A68" s="113">
        <v>58</v>
      </c>
      <c r="B68" s="114">
        <v>0</v>
      </c>
      <c r="C68" s="114">
        <f>IF('TTS Calculation Summary'!$V68&gt;150000,'TTS Labor'!$B$39,'TTS Labor'!$E$39)*0.8</f>
        <v>971074.46</v>
      </c>
      <c r="D68" s="114">
        <f t="shared" si="3"/>
        <v>108486.67500381885</v>
      </c>
      <c r="E68" s="114">
        <f t="shared" si="4"/>
        <v>108486.67500381885</v>
      </c>
      <c r="F68" s="114">
        <f>'TTS O&amp;M Input'!$C$10*'TTS Calculation Summary'!Y68</f>
        <v>792968.63517293287</v>
      </c>
      <c r="G68" s="114">
        <f>'TTS Calculation Summary'!AA68*2000*'TTS O&amp;M Input'!$C$11</f>
        <v>157453.47802366901</v>
      </c>
      <c r="H68" s="114">
        <f>'TTS Calculation Summary'!AC68*2000*'TTS O&amp;M Input'!$C$12</f>
        <v>3666.8319717732811</v>
      </c>
      <c r="I68" s="114">
        <f>'TTS Calculation Summary'!AD68*'TTS O&amp;M Input'!$C$18+'TTS Calculation Summary'!AE68*'TTS O&amp;M Input'!$C$17+'TTS Calculation Summary'!AF68*'TTS O&amp;M Input'!$C$13+'TTS Calculation Summary'!AH68*'TTS O&amp;M Input'!$C$15+'TTS Calculation Summary'!AI68*'TTS O&amp;M Input'!$C$16+'TTS Calculation Summary'!AG68*'TTS O&amp;M Input'!$C$14</f>
        <v>91770.410447784525</v>
      </c>
      <c r="J68" s="114">
        <f>'TTS Analytical Costs'!P69</f>
        <v>18941</v>
      </c>
      <c r="K68" s="114">
        <f>'TTS Calculation Summary'!AL68*$L$8</f>
        <v>59311.929966122691</v>
      </c>
      <c r="L68" s="115">
        <f t="shared" si="0"/>
        <v>2312160.0955899209</v>
      </c>
    </row>
    <row r="69" spans="1:12" x14ac:dyDescent="0.25">
      <c r="A69" s="113">
        <v>59</v>
      </c>
      <c r="B69" s="114">
        <v>0</v>
      </c>
      <c r="C69" s="114">
        <f>IF('TTS Calculation Summary'!$V69&gt;150000,'TTS Labor'!$B$39,'TTS Labor'!$E$39)*0.8</f>
        <v>971074.46</v>
      </c>
      <c r="D69" s="114">
        <f t="shared" si="3"/>
        <v>108486.67500381885</v>
      </c>
      <c r="E69" s="114">
        <f t="shared" si="4"/>
        <v>108486.67500381885</v>
      </c>
      <c r="F69" s="114">
        <f>'TTS O&amp;M Input'!$C$10*'TTS Calculation Summary'!Y69</f>
        <v>790688.49398441287</v>
      </c>
      <c r="G69" s="114">
        <f>'TTS Calculation Summary'!AA69*2000*'TTS O&amp;M Input'!$C$11</f>
        <v>157154.77224938408</v>
      </c>
      <c r="H69" s="114">
        <f>'TTS Calculation Summary'!AC69*2000*'TTS O&amp;M Input'!$C$12</f>
        <v>3656.3929513839516</v>
      </c>
      <c r="I69" s="114">
        <f>'TTS Calculation Summary'!AD69*'TTS O&amp;M Input'!$C$18+'TTS Calculation Summary'!AE69*'TTS O&amp;M Input'!$C$17+'TTS Calculation Summary'!AF69*'TTS O&amp;M Input'!$C$13+'TTS Calculation Summary'!AH69*'TTS O&amp;M Input'!$C$15+'TTS Calculation Summary'!AI69*'TTS O&amp;M Input'!$C$16+'TTS Calculation Summary'!AG69*'TTS O&amp;M Input'!$C$14</f>
        <v>91596.312346851337</v>
      </c>
      <c r="J69" s="114">
        <f>'TTS Analytical Costs'!P70</f>
        <v>18941</v>
      </c>
      <c r="K69" s="114">
        <f>'TTS Calculation Summary'!AL69*$L$8</f>
        <v>59199.40900953766</v>
      </c>
      <c r="L69" s="115">
        <f t="shared" si="0"/>
        <v>2309284.1905492074</v>
      </c>
    </row>
    <row r="70" spans="1:12" x14ac:dyDescent="0.25">
      <c r="A70" s="113">
        <v>60</v>
      </c>
      <c r="B70" s="114">
        <v>0</v>
      </c>
      <c r="C70" s="114">
        <f>IF('TTS Calculation Summary'!$V70&gt;150000,'TTS Labor'!$B$39,'TTS Labor'!$E$39)*0.8</f>
        <v>971074.46</v>
      </c>
      <c r="D70" s="114">
        <f t="shared" si="3"/>
        <v>108486.67500381885</v>
      </c>
      <c r="E70" s="114">
        <f t="shared" si="4"/>
        <v>108486.67500381885</v>
      </c>
      <c r="F70" s="114">
        <f>'TTS O&amp;M Input'!$C$10*'TTS Calculation Summary'!Y70</f>
        <v>788468.08714025293</v>
      </c>
      <c r="G70" s="114">
        <f>'TTS Calculation Summary'!AA70*2000*'TTS O&amp;M Input'!$C$11</f>
        <v>156864.11314215377</v>
      </c>
      <c r="H70" s="114">
        <f>'TTS Calculation Summary'!AC70*2000*'TTS O&amp;M Input'!$C$12</f>
        <v>3646.2351419007427</v>
      </c>
      <c r="I70" s="114">
        <f>'TTS Calculation Summary'!AD70*'TTS O&amp;M Input'!$C$18+'TTS Calculation Summary'!AE70*'TTS O&amp;M Input'!$C$17+'TTS Calculation Summary'!AF70*'TTS O&amp;M Input'!$C$13+'TTS Calculation Summary'!AH70*'TTS O&amp;M Input'!$C$15+'TTS Calculation Summary'!AI70*'TTS O&amp;M Input'!$C$16+'TTS Calculation Summary'!AG70*'TTS O&amp;M Input'!$C$14</f>
        <v>91426.904176859025</v>
      </c>
      <c r="J70" s="114">
        <f>'TTS Analytical Costs'!P71</f>
        <v>18941</v>
      </c>
      <c r="K70" s="114">
        <f>'TTS Calculation Summary'!AL70*$L$8</f>
        <v>59089.91919179308</v>
      </c>
      <c r="L70" s="115">
        <f t="shared" si="0"/>
        <v>2306484.0688005975</v>
      </c>
    </row>
    <row r="71" spans="1:12" x14ac:dyDescent="0.25">
      <c r="A71" s="113">
        <v>61</v>
      </c>
      <c r="B71" s="114">
        <v>0</v>
      </c>
      <c r="C71" s="114">
        <f>IF('TTS Calculation Summary'!$V71&gt;150000,'TTS Labor'!$B$39,'TTS Labor'!$E$39)*0.8</f>
        <v>971074.46</v>
      </c>
      <c r="D71" s="114">
        <f t="shared" si="3"/>
        <v>108486.67500381885</v>
      </c>
      <c r="E71" s="114">
        <f t="shared" si="4"/>
        <v>108486.67500381885</v>
      </c>
      <c r="F71" s="114">
        <f>'TTS O&amp;M Input'!$C$10*'TTS Calculation Summary'!Y71</f>
        <v>786293.39756060054</v>
      </c>
      <c r="G71" s="114">
        <f>'TTS Calculation Summary'!AA71*2000*'TTS O&amp;M Input'!$C$11</f>
        <v>156579.68700070059</v>
      </c>
      <c r="H71" s="114">
        <f>'TTS Calculation Summary'!AC71*2000*'TTS O&amp;M Input'!$C$12</f>
        <v>3636.2951589961758</v>
      </c>
      <c r="I71" s="114">
        <f>'TTS Calculation Summary'!AD71*'TTS O&amp;M Input'!$C$18+'TTS Calculation Summary'!AE71*'TTS O&amp;M Input'!$C$17+'TTS Calculation Summary'!AF71*'TTS O&amp;M Input'!$C$13+'TTS Calculation Summary'!AH71*'TTS O&amp;M Input'!$C$15+'TTS Calculation Summary'!AI71*'TTS O&amp;M Input'!$C$16+'TTS Calculation Summary'!AG71*'TTS O&amp;M Input'!$C$14</f>
        <v>91261.128837559678</v>
      </c>
      <c r="J71" s="114">
        <f>'TTS Analytical Costs'!P72</f>
        <v>18941</v>
      </c>
      <c r="K71" s="114">
        <f>'TTS Calculation Summary'!AL71*$L$8</f>
        <v>58982.777300777707</v>
      </c>
      <c r="L71" s="115">
        <f t="shared" si="0"/>
        <v>2303742.0958662732</v>
      </c>
    </row>
    <row r="72" spans="1:12" x14ac:dyDescent="0.25">
      <c r="A72" s="113">
        <v>62</v>
      </c>
      <c r="B72" s="114">
        <v>0</v>
      </c>
      <c r="C72" s="114">
        <f>IF('TTS Calculation Summary'!$V72&gt;150000,'TTS Labor'!$B$39,'TTS Labor'!$E$39)*0.8</f>
        <v>971074.46</v>
      </c>
      <c r="D72" s="114">
        <f t="shared" si="3"/>
        <v>108486.67500381885</v>
      </c>
      <c r="E72" s="114">
        <f t="shared" si="4"/>
        <v>108486.67500381885</v>
      </c>
      <c r="F72" s="114">
        <f>'TTS O&amp;M Input'!$C$10*'TTS Calculation Summary'!Y72</f>
        <v>784172.13910726912</v>
      </c>
      <c r="G72" s="114">
        <f>'TTS Calculation Summary'!AA72*2000*'TTS O&amp;M Input'!$C$11</f>
        <v>156302.45697105848</v>
      </c>
      <c r="H72" s="114">
        <f>'TTS Calculation Summary'!AC72*2000*'TTS O&amp;M Input'!$C$12</f>
        <v>3626.6066622173776</v>
      </c>
      <c r="I72" s="114">
        <f>'TTS Calculation Summary'!AD72*'TTS O&amp;M Input'!$C$18+'TTS Calculation Summary'!AE72*'TTS O&amp;M Input'!$C$17+'TTS Calculation Summary'!AF72*'TTS O&amp;M Input'!$C$13+'TTS Calculation Summary'!AH72*'TTS O&amp;M Input'!$C$15+'TTS Calculation Summary'!AI72*'TTS O&amp;M Input'!$C$16+'TTS Calculation Summary'!AG72*'TTS O&amp;M Input'!$C$14</f>
        <v>91099.547690365929</v>
      </c>
      <c r="J72" s="114">
        <f>'TTS Analytical Costs'!P73</f>
        <v>18941</v>
      </c>
      <c r="K72" s="114">
        <f>'TTS Calculation Summary'!AL72*$L$8</f>
        <v>58878.346148738194</v>
      </c>
      <c r="L72" s="115">
        <f t="shared" si="0"/>
        <v>2301067.9065872873</v>
      </c>
    </row>
    <row r="73" spans="1:12" x14ac:dyDescent="0.25">
      <c r="A73" s="113">
        <v>63</v>
      </c>
      <c r="B73" s="114">
        <v>0</v>
      </c>
      <c r="C73" s="114">
        <f>IF('TTS Calculation Summary'!$V73&gt;150000,'TTS Labor'!$B$39,'TTS Labor'!$E$39)*0.8</f>
        <v>971074.46</v>
      </c>
      <c r="D73" s="114">
        <f t="shared" si="3"/>
        <v>108486.67500381885</v>
      </c>
      <c r="E73" s="114">
        <f t="shared" si="4"/>
        <v>108486.67500381885</v>
      </c>
      <c r="F73" s="114">
        <f>'TTS O&amp;M Input'!$C$10*'TTS Calculation Summary'!Y73</f>
        <v>782099.69437785377</v>
      </c>
      <c r="G73" s="114">
        <f>'TTS Calculation Summary'!AA73*2000*'TTS O&amp;M Input'!$C$11</f>
        <v>156031.73614547841</v>
      </c>
      <c r="H73" s="114">
        <f>'TTS Calculation Summary'!AC73*2000*'TTS O&amp;M Input'!$C$12</f>
        <v>3617.1456458549992</v>
      </c>
      <c r="I73" s="114">
        <f>'TTS Calculation Summary'!AD73*'TTS O&amp;M Input'!$C$18+'TTS Calculation Summary'!AE73*'TTS O&amp;M Input'!$C$17+'TTS Calculation Summary'!AF73*'TTS O&amp;M Input'!$C$13+'TTS Calculation Summary'!AH73*'TTS O&amp;M Input'!$C$15+'TTS Calculation Summary'!AI73*'TTS O&amp;M Input'!$C$16+'TTS Calculation Summary'!AG73*'TTS O&amp;M Input'!$C$14</f>
        <v>90941.760376982405</v>
      </c>
      <c r="J73" s="114">
        <f>'TTS Analytical Costs'!P74</f>
        <v>18941</v>
      </c>
      <c r="K73" s="114">
        <f>'TTS Calculation Summary'!AL73*$L$8</f>
        <v>58776.366980994659</v>
      </c>
      <c r="L73" s="115">
        <f t="shared" si="0"/>
        <v>2298455.513534802</v>
      </c>
    </row>
    <row r="74" spans="1:12" x14ac:dyDescent="0.25">
      <c r="A74" s="113">
        <v>64</v>
      </c>
      <c r="B74" s="114">
        <v>0</v>
      </c>
      <c r="C74" s="114">
        <f>IF('TTS Calculation Summary'!$V74&gt;150000,'TTS Labor'!$B$39,'TTS Labor'!$E$39)*0.8</f>
        <v>971074.46</v>
      </c>
      <c r="D74" s="114">
        <f t="shared" si="3"/>
        <v>108486.67500381885</v>
      </c>
      <c r="E74" s="114">
        <f t="shared" si="4"/>
        <v>108486.67500381885</v>
      </c>
      <c r="F74" s="114">
        <f>'TTS O&amp;M Input'!$C$10*'TTS Calculation Summary'!Y74</f>
        <v>780070.41043267632</v>
      </c>
      <c r="G74" s="114">
        <f>'TTS Calculation Summary'!AA74*2000*'TTS O&amp;M Input'!$C$11</f>
        <v>155767.01451617733</v>
      </c>
      <c r="H74" s="114">
        <f>'TTS Calculation Summary'!AC74*2000*'TTS O&amp;M Input'!$C$12</f>
        <v>3607.8942864114633</v>
      </c>
      <c r="I74" s="114">
        <f>'TTS Calculation Summary'!AD74*'TTS O&amp;M Input'!$C$18+'TTS Calculation Summary'!AE74*'TTS O&amp;M Input'!$C$17+'TTS Calculation Summary'!AF74*'TTS O&amp;M Input'!$C$13+'TTS Calculation Summary'!AH74*'TTS O&amp;M Input'!$C$15+'TTS Calculation Summary'!AI74*'TTS O&amp;M Input'!$C$16+'TTS Calculation Summary'!AG74*'TTS O&amp;M Input'!$C$14</f>
        <v>90787.469643742996</v>
      </c>
      <c r="J74" s="114">
        <f>'TTS Analytical Costs'!P75</f>
        <v>18941</v>
      </c>
      <c r="K74" s="114">
        <f>'TTS Calculation Summary'!AL74*$L$8</f>
        <v>58676.647680191018</v>
      </c>
      <c r="L74" s="115">
        <f t="shared" si="0"/>
        <v>2295898.2465668363</v>
      </c>
    </row>
    <row r="75" spans="1:12" x14ac:dyDescent="0.25">
      <c r="A75" s="113">
        <v>65</v>
      </c>
      <c r="B75" s="114">
        <v>0</v>
      </c>
      <c r="C75" s="114">
        <f>IF('TTS Calculation Summary'!$V75&gt;150000,'TTS Labor'!$B$39,'TTS Labor'!$E$39)*0.8</f>
        <v>971074.46</v>
      </c>
      <c r="D75" s="114">
        <f t="shared" si="3"/>
        <v>108486.67500381885</v>
      </c>
      <c r="E75" s="114">
        <f t="shared" si="4"/>
        <v>108486.67500381885</v>
      </c>
      <c r="F75" s="114">
        <f>'TTS O&amp;M Input'!$C$10*'TTS Calculation Summary'!Y75</f>
        <v>778090.85571694293</v>
      </c>
      <c r="G75" s="114">
        <f>'TTS Calculation Summary'!AA75*2000*'TTS O&amp;M Input'!$C$11</f>
        <v>155508.84482800524</v>
      </c>
      <c r="H75" s="114">
        <f>'TTS Calculation Summary'!AC75*2000*'TTS O&amp;M Input'!$C$12</f>
        <v>3598.8719009380438</v>
      </c>
      <c r="I75" s="114">
        <f>'TTS Calculation Summary'!AD75*'TTS O&amp;M Input'!$C$18+'TTS Calculation Summary'!AE75*'TTS O&amp;M Input'!$C$17+'TTS Calculation Summary'!AF75*'TTS O&amp;M Input'!$C$13+'TTS Calculation Summary'!AH75*'TTS O&amp;M Input'!$C$15+'TTS Calculation Summary'!AI75*'TTS O&amp;M Input'!$C$16+'TTS Calculation Summary'!AG75*'TTS O&amp;M Input'!$C$14</f>
        <v>90636.997653247076</v>
      </c>
      <c r="J75" s="114">
        <f>'TTS Analytical Costs'!P76</f>
        <v>18941</v>
      </c>
      <c r="K75" s="114">
        <f>'TTS Calculation Summary'!AL75*$L$8</f>
        <v>58579.396462520635</v>
      </c>
      <c r="L75" s="115">
        <f t="shared" si="0"/>
        <v>2293403.7765692915</v>
      </c>
    </row>
    <row r="76" spans="1:12" x14ac:dyDescent="0.25">
      <c r="A76" s="113">
        <v>66</v>
      </c>
      <c r="B76" s="114">
        <v>0</v>
      </c>
      <c r="C76" s="114">
        <f>IF('TTS Calculation Summary'!$V76&gt;150000,'TTS Labor'!$B$39,'TTS Labor'!$E$39)*0.8</f>
        <v>971074.46</v>
      </c>
      <c r="D76" s="114">
        <f t="shared" si="3"/>
        <v>108486.67500381885</v>
      </c>
      <c r="E76" s="114">
        <f t="shared" si="4"/>
        <v>108486.67500381885</v>
      </c>
      <c r="F76" s="114">
        <f>'TTS O&amp;M Input'!$C$10*'TTS Calculation Summary'!Y76</f>
        <v>776156.17511171917</v>
      </c>
      <c r="G76" s="114">
        <f>'TTS Calculation Summary'!AA76*2000*'TTS O&amp;M Input'!$C$11</f>
        <v>155256.842485756</v>
      </c>
      <c r="H76" s="114">
        <f>'TTS Calculation Summary'!AC76*2000*'TTS O&amp;M Input'!$C$12</f>
        <v>3590.0650487933349</v>
      </c>
      <c r="I76" s="114">
        <f>'TTS Calculation Summary'!AD76*'TTS O&amp;M Input'!$C$18+'TTS Calculation Summary'!AE76*'TTS O&amp;M Input'!$C$17+'TTS Calculation Summary'!AF76*'TTS O&amp;M Input'!$C$13+'TTS Calculation Summary'!AH76*'TTS O&amp;M Input'!$C$15+'TTS Calculation Summary'!AI76*'TTS O&amp;M Input'!$C$16+'TTS Calculation Summary'!AG76*'TTS O&amp;M Input'!$C$14</f>
        <v>90490.120247474333</v>
      </c>
      <c r="J76" s="114">
        <f>'TTS Analytical Costs'!P77</f>
        <v>18941</v>
      </c>
      <c r="K76" s="114">
        <f>'TTS Calculation Summary'!AL76*$L$8</f>
        <v>58484.468452911744</v>
      </c>
      <c r="L76" s="115">
        <f t="shared" ref="L76:L110" si="5">SUM(B76:K76)</f>
        <v>2290966.4813542925</v>
      </c>
    </row>
    <row r="77" spans="1:12" x14ac:dyDescent="0.25">
      <c r="A77" s="113">
        <v>67</v>
      </c>
      <c r="B77" s="114">
        <v>0</v>
      </c>
      <c r="C77" s="114">
        <f>IF('TTS Calculation Summary'!$V77&gt;150000,'TTS Labor'!$B$39,'TTS Labor'!$E$39)*0.8</f>
        <v>971074.46</v>
      </c>
      <c r="D77" s="114">
        <f t="shared" si="3"/>
        <v>108486.67500381885</v>
      </c>
      <c r="E77" s="114">
        <f t="shared" si="4"/>
        <v>108486.67500381885</v>
      </c>
      <c r="F77" s="114">
        <f>'TTS O&amp;M Input'!$C$10*'TTS Calculation Summary'!Y77</f>
        <v>774261.19320025982</v>
      </c>
      <c r="G77" s="114">
        <f>'TTS Calculation Summary'!AA77*2000*'TTS O&amp;M Input'!$C$11</f>
        <v>155010.08692230241</v>
      </c>
      <c r="H77" s="114">
        <f>'TTS Calculation Summary'!AC77*2000*'TTS O&amp;M Input'!$C$12</f>
        <v>3581.4415584566027</v>
      </c>
      <c r="I77" s="114">
        <f>'TTS Calculation Summary'!AD77*'TTS O&amp;M Input'!$C$18+'TTS Calculation Summary'!AE77*'TTS O&amp;M Input'!$C$17+'TTS Calculation Summary'!AF77*'TTS O&amp;M Input'!$C$13+'TTS Calculation Summary'!AH77*'TTS O&amp;M Input'!$C$15+'TTS Calculation Summary'!AI77*'TTS O&amp;M Input'!$C$16+'TTS Calculation Summary'!AG77*'TTS O&amp;M Input'!$C$14</f>
        <v>90346.30088176296</v>
      </c>
      <c r="J77" s="114">
        <f>'TTS Analytical Costs'!P78</f>
        <v>18941</v>
      </c>
      <c r="K77" s="114">
        <f>'TTS Calculation Summary'!AL77*$L$8</f>
        <v>58391.516878376751</v>
      </c>
      <c r="L77" s="115">
        <f t="shared" si="5"/>
        <v>2288579.3494487964</v>
      </c>
    </row>
    <row r="78" spans="1:12" x14ac:dyDescent="0.25">
      <c r="A78" s="113">
        <v>68</v>
      </c>
      <c r="B78" s="114">
        <v>0</v>
      </c>
      <c r="C78" s="114">
        <f>IF('TTS Calculation Summary'!$V78&gt;150000,'TTS Labor'!$B$39,'TTS Labor'!$E$39)*0.8</f>
        <v>971074.46</v>
      </c>
      <c r="D78" s="114">
        <f t="shared" si="3"/>
        <v>108486.67500381885</v>
      </c>
      <c r="E78" s="114">
        <f t="shared" si="4"/>
        <v>108486.67500381885</v>
      </c>
      <c r="F78" s="114">
        <f>'TTS O&amp;M Input'!$C$10*'TTS Calculation Summary'!Y78</f>
        <v>772402.22046975</v>
      </c>
      <c r="G78" s="114">
        <f>'TTS Calculation Summary'!AA78*2000*'TTS O&amp;M Input'!$C$11</f>
        <v>154768.29910197644</v>
      </c>
      <c r="H78" s="114">
        <f>'TTS Calculation Summary'!AC78*2000*'TTS O&amp;M Input'!$C$12</f>
        <v>3572.9916783285203</v>
      </c>
      <c r="I78" s="114">
        <f>'TTS Calculation Summary'!AD78*'TTS O&amp;M Input'!$C$18+'TTS Calculation Summary'!AE78*'TTS O&amp;M Input'!$C$17+'TTS Calculation Summary'!AF78*'TTS O&amp;M Input'!$C$13+'TTS Calculation Summary'!AH78*'TTS O&amp;M Input'!$C$15+'TTS Calculation Summary'!AI78*'TTS O&amp;M Input'!$C$16+'TTS Calculation Summary'!AG78*'TTS O&amp;M Input'!$C$14</f>
        <v>90205.376922564988</v>
      </c>
      <c r="J78" s="114">
        <f>'TTS Analytical Costs'!P79</f>
        <v>18941</v>
      </c>
      <c r="K78" s="114">
        <f>'TTS Calculation Summary'!AL78*$L$8</f>
        <v>58300.436627588773</v>
      </c>
      <c r="L78" s="115">
        <f t="shared" si="5"/>
        <v>2286238.134807847</v>
      </c>
    </row>
    <row r="79" spans="1:12" x14ac:dyDescent="0.25">
      <c r="A79" s="113">
        <v>69</v>
      </c>
      <c r="B79" s="114">
        <v>0</v>
      </c>
      <c r="C79" s="114">
        <f>IF('TTS Calculation Summary'!$V79&gt;150000,'TTS Labor'!$B$39,'TTS Labor'!$E$39)*0.8</f>
        <v>971074.46</v>
      </c>
      <c r="D79" s="114">
        <f t="shared" si="3"/>
        <v>108486.67500381885</v>
      </c>
      <c r="E79" s="114">
        <f t="shared" si="4"/>
        <v>108486.67500381885</v>
      </c>
      <c r="F79" s="114">
        <f>'TTS O&amp;M Input'!$C$10*'TTS Calculation Summary'!Y79</f>
        <v>770587.53832218633</v>
      </c>
      <c r="G79" s="114">
        <f>'TTS Calculation Summary'!AA79*2000*'TTS O&amp;M Input'!$C$11</f>
        <v>154532.41155563554</v>
      </c>
      <c r="H79" s="114">
        <f>'TTS Calculation Summary'!AC79*2000*'TTS O&amp;M Input'!$C$12</f>
        <v>3564.7479980322937</v>
      </c>
      <c r="I79" s="114">
        <f>'TTS Calculation Summary'!AD79*'TTS O&amp;M Input'!$C$18+'TTS Calculation Summary'!AE79*'TTS O&amp;M Input'!$C$17+'TTS Calculation Summary'!AF79*'TTS O&amp;M Input'!$C$13+'TTS Calculation Summary'!AH79*'TTS O&amp;M Input'!$C$15+'TTS Calculation Summary'!AI79*'TTS O&amp;M Input'!$C$16+'TTS Calculation Summary'!AG79*'TTS O&amp;M Input'!$C$14</f>
        <v>90067.891887499747</v>
      </c>
      <c r="J79" s="114">
        <f>'TTS Analytical Costs'!P80</f>
        <v>18941</v>
      </c>
      <c r="K79" s="114">
        <f>'TTS Calculation Summary'!AL79*$L$8</f>
        <v>58211.578980212129</v>
      </c>
      <c r="L79" s="115">
        <f t="shared" si="5"/>
        <v>2283952.978751204</v>
      </c>
    </row>
    <row r="80" spans="1:12" x14ac:dyDescent="0.25">
      <c r="A80" s="113">
        <v>70</v>
      </c>
      <c r="B80" s="114">
        <v>0</v>
      </c>
      <c r="C80" s="114">
        <f>IF('TTS Calculation Summary'!$V80&gt;150000,'TTS Labor'!$B$39,'TTS Labor'!$E$39)*0.8</f>
        <v>971074.46</v>
      </c>
      <c r="D80" s="114">
        <f t="shared" ref="D80:D110" si="6">$L$4*$L$5</f>
        <v>108486.67500381885</v>
      </c>
      <c r="E80" s="114">
        <f t="shared" ref="E80:E110" si="7">$L$4*$L$6</f>
        <v>108486.67500381885</v>
      </c>
      <c r="F80" s="114">
        <f>'TTS O&amp;M Input'!$C$10*'TTS Calculation Summary'!Y80</f>
        <v>768811.21202804102</v>
      </c>
      <c r="G80" s="114">
        <f>'TTS Calculation Summary'!AA80*2000*'TTS O&amp;M Input'!$C$11</f>
        <v>154301.71498344315</v>
      </c>
      <c r="H80" s="114">
        <f>'TTS Calculation Summary'!AC80*2000*'TTS O&amp;M Input'!$C$12</f>
        <v>3556.685729311077</v>
      </c>
      <c r="I80" s="114">
        <f>'TTS Calculation Summary'!AD80*'TTS O&amp;M Input'!$C$18+'TTS Calculation Summary'!AE80*'TTS O&amp;M Input'!$C$17+'TTS Calculation Summary'!AF80*'TTS O&amp;M Input'!$C$13+'TTS Calculation Summary'!AH80*'TTS O&amp;M Input'!$C$15+'TTS Calculation Summary'!AI80*'TTS O&amp;M Input'!$C$16+'TTS Calculation Summary'!AG80*'TTS O&amp;M Input'!$C$14</f>
        <v>89933.432367235539</v>
      </c>
      <c r="J80" s="114">
        <f>'TTS Analytical Costs'!P81</f>
        <v>18941</v>
      </c>
      <c r="K80" s="114">
        <f>'TTS Calculation Summary'!AL80*$L$8</f>
        <v>58124.676746580662</v>
      </c>
      <c r="L80" s="115">
        <f t="shared" si="5"/>
        <v>2281716.5318622491</v>
      </c>
    </row>
    <row r="81" spans="1:12" x14ac:dyDescent="0.25">
      <c r="A81" s="113">
        <v>71</v>
      </c>
      <c r="B81" s="114">
        <v>0</v>
      </c>
      <c r="C81" s="114">
        <f>IF('TTS Calculation Summary'!$V81&gt;150000,'TTS Labor'!$B$39,'TTS Labor'!$E$39)*0.8</f>
        <v>971074.46</v>
      </c>
      <c r="D81" s="114">
        <f t="shared" si="6"/>
        <v>108486.67500381885</v>
      </c>
      <c r="E81" s="114">
        <f t="shared" si="7"/>
        <v>108486.67500381885</v>
      </c>
      <c r="F81" s="114">
        <f>'TTS O&amp;M Input'!$C$10*'TTS Calculation Summary'!Y81</f>
        <v>767073.52745024441</v>
      </c>
      <c r="G81" s="114">
        <f>'TTS Calculation Summary'!AA81*2000*'TTS O&amp;M Input'!$C$11</f>
        <v>154076.29795275957</v>
      </c>
      <c r="H81" s="114">
        <f>'TTS Calculation Summary'!AC81*2000*'TTS O&amp;M Input'!$C$12</f>
        <v>3548.8079673727925</v>
      </c>
      <c r="I81" s="114">
        <f>'TTS Calculation Summary'!AD81*'TTS O&amp;M Input'!$C$18+'TTS Calculation Summary'!AE81*'TTS O&amp;M Input'!$C$17+'TTS Calculation Summary'!AF81*'TTS O&amp;M Input'!$C$13+'TTS Calculation Summary'!AH81*'TTS O&amp;M Input'!$C$15+'TTS Calculation Summary'!AI81*'TTS O&amp;M Input'!$C$16+'TTS Calculation Summary'!AG81*'TTS O&amp;M Input'!$C$14</f>
        <v>89802.049982499389</v>
      </c>
      <c r="J81" s="114">
        <f>'TTS Analytical Costs'!P82</f>
        <v>18941</v>
      </c>
      <c r="K81" s="114">
        <f>'TTS Calculation Summary'!AL81*$L$8</f>
        <v>58039.763289571703</v>
      </c>
      <c r="L81" s="115">
        <f t="shared" si="5"/>
        <v>2279529.2566500856</v>
      </c>
    </row>
    <row r="82" spans="1:12" x14ac:dyDescent="0.25">
      <c r="A82" s="113">
        <v>72</v>
      </c>
      <c r="B82" s="114">
        <v>0</v>
      </c>
      <c r="C82" s="114">
        <f>IF('TTS Calculation Summary'!$V82&gt;150000,'TTS Labor'!$B$39,'TTS Labor'!$E$39)*0.8</f>
        <v>971074.46</v>
      </c>
      <c r="D82" s="114">
        <f t="shared" si="6"/>
        <v>108486.67500381885</v>
      </c>
      <c r="E82" s="114">
        <f t="shared" si="7"/>
        <v>108486.67500381885</v>
      </c>
      <c r="F82" s="114">
        <f>'TTS O&amp;M Input'!$C$10*'TTS Calculation Summary'!Y82</f>
        <v>765368.84623678727</v>
      </c>
      <c r="G82" s="114">
        <f>'TTS Calculation Summary'!AA82*2000*'TTS O&amp;M Input'!$C$11</f>
        <v>153855.39305022079</v>
      </c>
      <c r="H82" s="114">
        <f>'TTS Calculation Summary'!AC82*2000*'TTS O&amp;M Input'!$C$12</f>
        <v>3541.0878930380209</v>
      </c>
      <c r="I82" s="114">
        <f>'TTS Calculation Summary'!AD82*'TTS O&amp;M Input'!$C$18+'TTS Calculation Summary'!AE82*'TTS O&amp;M Input'!$C$17+'TTS Calculation Summary'!AF82*'TTS O&amp;M Input'!$C$13+'TTS Calculation Summary'!AH82*'TTS O&amp;M Input'!$C$15+'TTS Calculation Summary'!AI82*'TTS O&amp;M Input'!$C$16+'TTS Calculation Summary'!AG82*'TTS O&amp;M Input'!$C$14</f>
        <v>89673.297452988001</v>
      </c>
      <c r="J82" s="114">
        <f>'TTS Analytical Costs'!P83</f>
        <v>18941</v>
      </c>
      <c r="K82" s="114">
        <f>'TTS Calculation Summary'!AL82*$L$8</f>
        <v>57956.549528446754</v>
      </c>
      <c r="L82" s="115">
        <f t="shared" si="5"/>
        <v>2277383.984169119</v>
      </c>
    </row>
    <row r="83" spans="1:12" x14ac:dyDescent="0.25">
      <c r="A83" s="113">
        <v>73</v>
      </c>
      <c r="B83" s="114">
        <v>0</v>
      </c>
      <c r="C83" s="114">
        <f>IF('TTS Calculation Summary'!$V83&gt;150000,'TTS Labor'!$B$39,'TTS Labor'!$E$39)*0.8</f>
        <v>971074.46</v>
      </c>
      <c r="D83" s="114">
        <f t="shared" si="6"/>
        <v>108486.67500381885</v>
      </c>
      <c r="E83" s="114">
        <f t="shared" si="7"/>
        <v>108486.67500381885</v>
      </c>
      <c r="F83" s="114">
        <f>'TTS O&amp;M Input'!$C$10*'TTS Calculation Summary'!Y83</f>
        <v>763705.35603317362</v>
      </c>
      <c r="G83" s="114">
        <f>'TTS Calculation Summary'!AA83*2000*'TTS O&amp;M Input'!$C$11</f>
        <v>153640.29863965881</v>
      </c>
      <c r="H83" s="114">
        <f>'TTS Calculation Summary'!AC83*2000*'TTS O&amp;M Input'!$C$12</f>
        <v>3533.570880878272</v>
      </c>
      <c r="I83" s="114">
        <f>'TTS Calculation Summary'!AD83*'TTS O&amp;M Input'!$C$18+'TTS Calculation Summary'!AE83*'TTS O&amp;M Input'!$C$17+'TTS Calculation Summary'!AF83*'TTS O&amp;M Input'!$C$13+'TTS Calculation Summary'!AH83*'TTS O&amp;M Input'!$C$15+'TTS Calculation Summary'!AI83*'TTS O&amp;M Input'!$C$16+'TTS Calculation Summary'!AG83*'TTS O&amp;M Input'!$C$14</f>
        <v>89547.931518935206</v>
      </c>
      <c r="J83" s="114">
        <f>'TTS Analytical Costs'!P84</f>
        <v>18941</v>
      </c>
      <c r="K83" s="114">
        <f>'TTS Calculation Summary'!AL83*$L$8</f>
        <v>57875.524550304064</v>
      </c>
      <c r="L83" s="115">
        <f t="shared" si="5"/>
        <v>2275291.4916305877</v>
      </c>
    </row>
    <row r="84" spans="1:12" x14ac:dyDescent="0.25">
      <c r="A84" s="113">
        <v>74</v>
      </c>
      <c r="B84" s="114">
        <v>0</v>
      </c>
      <c r="C84" s="114">
        <f>IF('TTS Calculation Summary'!$V84&gt;150000,'TTS Labor'!$B$39,'TTS Labor'!$E$39)*0.8</f>
        <v>971074.46</v>
      </c>
      <c r="D84" s="114">
        <f t="shared" si="6"/>
        <v>108486.67500381885</v>
      </c>
      <c r="E84" s="114">
        <f t="shared" si="7"/>
        <v>108486.67500381885</v>
      </c>
      <c r="F84" s="114">
        <f>'TTS O&amp;M Input'!$C$10*'TTS Calculation Summary'!Y84</f>
        <v>762162.36153794685</v>
      </c>
      <c r="G84" s="114">
        <f>'TTS Calculation Summary'!AA84*2000*'TTS O&amp;M Input'!$C$11</f>
        <v>153459.19517740878</v>
      </c>
      <c r="H84" s="114">
        <f>'TTS Calculation Summary'!AC84*2000*'TTS O&amp;M Input'!$C$12</f>
        <v>3527.2417674236317</v>
      </c>
      <c r="I84" s="114">
        <f>'TTS Calculation Summary'!AD84*'TTS O&amp;M Input'!$C$18+'TTS Calculation Summary'!AE84*'TTS O&amp;M Input'!$C$17+'TTS Calculation Summary'!AF84*'TTS O&amp;M Input'!$C$13+'TTS Calculation Summary'!AH84*'TTS O&amp;M Input'!$C$15+'TTS Calculation Summary'!AI84*'TTS O&amp;M Input'!$C$16+'TTS Calculation Summary'!AG84*'TTS O&amp;M Input'!$C$14</f>
        <v>89442.37691783777</v>
      </c>
      <c r="J84" s="114">
        <f>'TTS Analytical Costs'!P85</f>
        <v>18941</v>
      </c>
      <c r="K84" s="114">
        <f>'TTS Calculation Summary'!AL84*$L$8</f>
        <v>57807.30379072213</v>
      </c>
      <c r="L84" s="115">
        <f t="shared" si="5"/>
        <v>2273387.2891989769</v>
      </c>
    </row>
    <row r="85" spans="1:12" x14ac:dyDescent="0.25">
      <c r="A85" s="113">
        <v>75</v>
      </c>
      <c r="B85" s="114">
        <v>0</v>
      </c>
      <c r="C85" s="114">
        <f>IF('TTS Calculation Summary'!$V85&gt;150000,'TTS Labor'!$B$39,'TTS Labor'!$E$39)*0.8</f>
        <v>971074.46</v>
      </c>
      <c r="D85" s="114">
        <f t="shared" si="6"/>
        <v>108486.67500381885</v>
      </c>
      <c r="E85" s="114">
        <f t="shared" si="7"/>
        <v>108486.67500381885</v>
      </c>
      <c r="F85" s="114">
        <f>'TTS O&amp;M Input'!$C$10*'TTS Calculation Summary'!Y85</f>
        <v>760652.50560956541</v>
      </c>
      <c r="G85" s="114">
        <f>'TTS Calculation Summary'!AA85*2000*'TTS O&amp;M Input'!$C$11</f>
        <v>153282.77176723594</v>
      </c>
      <c r="H85" s="114">
        <f>'TTS Calculation Summary'!AC85*2000*'TTS O&amp;M Input'!$C$12</f>
        <v>3521.0762100943225</v>
      </c>
      <c r="I85" s="114">
        <f>'TTS Calculation Summary'!AD85*'TTS O&amp;M Input'!$C$18+'TTS Calculation Summary'!AE85*'TTS O&amp;M Input'!$C$17+'TTS Calculation Summary'!AF85*'TTS O&amp;M Input'!$C$13+'TTS Calculation Summary'!AH85*'TTS O&amp;M Input'!$C$15+'TTS Calculation Summary'!AI85*'TTS O&amp;M Input'!$C$16+'TTS Calculation Summary'!AG85*'TTS O&amp;M Input'!$C$14</f>
        <v>89339.550044990086</v>
      </c>
      <c r="J85" s="114">
        <f>'TTS Analytical Costs'!P86</f>
        <v>18941</v>
      </c>
      <c r="K85" s="114">
        <f>'TTS Calculation Summary'!AL85*$L$8</f>
        <v>57740.845983121428</v>
      </c>
      <c r="L85" s="115">
        <f t="shared" si="5"/>
        <v>2271525.5596226449</v>
      </c>
    </row>
    <row r="86" spans="1:12" x14ac:dyDescent="0.25">
      <c r="A86" s="113">
        <v>76</v>
      </c>
      <c r="B86" s="114">
        <v>0</v>
      </c>
      <c r="C86" s="114">
        <f>IF('TTS Calculation Summary'!$V86&gt;150000,'TTS Labor'!$B$39,'TTS Labor'!$E$39)*0.8</f>
        <v>971074.46</v>
      </c>
      <c r="D86" s="114">
        <f t="shared" si="6"/>
        <v>108486.67500381885</v>
      </c>
      <c r="E86" s="114">
        <f t="shared" si="7"/>
        <v>108486.67500381885</v>
      </c>
      <c r="F86" s="114">
        <f>'TTS O&amp;M Input'!$C$10*'TTS Calculation Summary'!Y86</f>
        <v>759163.73392993165</v>
      </c>
      <c r="G86" s="114">
        <f>'TTS Calculation Summary'!AA86*2000*'TTS O&amp;M Input'!$C$11</f>
        <v>153109.12568627132</v>
      </c>
      <c r="H86" s="114">
        <f>'TTS Calculation Summary'!AC86*2000*'TTS O&amp;M Input'!$C$12</f>
        <v>3515.0077134807043</v>
      </c>
      <c r="I86" s="114">
        <f>'TTS Calculation Summary'!AD86*'TTS O&amp;M Input'!$C$18+'TTS Calculation Summary'!AE86*'TTS O&amp;M Input'!$C$17+'TTS Calculation Summary'!AF86*'TTS O&amp;M Input'!$C$13+'TTS Calculation Summary'!AH86*'TTS O&amp;M Input'!$C$15+'TTS Calculation Summary'!AI86*'TTS O&amp;M Input'!$C$16+'TTS Calculation Summary'!AG86*'TTS O&amp;M Input'!$C$14</f>
        <v>89238.341914672521</v>
      </c>
      <c r="J86" s="114">
        <f>'TTS Analytical Costs'!P87</f>
        <v>18941</v>
      </c>
      <c r="K86" s="114">
        <f>'TTS Calculation Summary'!AL86*$L$8</f>
        <v>57675.434381406812</v>
      </c>
      <c r="L86" s="115">
        <f t="shared" si="5"/>
        <v>2269690.4536334006</v>
      </c>
    </row>
    <row r="87" spans="1:12" x14ac:dyDescent="0.25">
      <c r="A87" s="113">
        <v>77</v>
      </c>
      <c r="B87" s="114">
        <v>0</v>
      </c>
      <c r="C87" s="114">
        <f>IF('TTS Calculation Summary'!$V87&gt;150000,'TTS Labor'!$B$39,'TTS Labor'!$E$39)*0.8</f>
        <v>971074.46</v>
      </c>
      <c r="D87" s="114">
        <f t="shared" si="6"/>
        <v>108486.67500381885</v>
      </c>
      <c r="E87" s="114">
        <f t="shared" si="7"/>
        <v>108486.67500381885</v>
      </c>
      <c r="F87" s="114">
        <f>'TTS O&amp;M Input'!$C$10*'TTS Calculation Summary'!Y87</f>
        <v>757702.84408733877</v>
      </c>
      <c r="G87" s="114">
        <f>'TTS Calculation Summary'!AA87*2000*'TTS O&amp;M Input'!$C$11</f>
        <v>152939.18404377211</v>
      </c>
      <c r="H87" s="114">
        <f>'TTS Calculation Summary'!AC87*2000*'TTS O&amp;M Input'!$C$12</f>
        <v>3509.0686777346032</v>
      </c>
      <c r="I87" s="114">
        <f>'TTS Calculation Summary'!AD87*'TTS O&amp;M Input'!$C$18+'TTS Calculation Summary'!AE87*'TTS O&amp;M Input'!$C$17+'TTS Calculation Summary'!AF87*'TTS O&amp;M Input'!$C$13+'TTS Calculation Summary'!AH87*'TTS O&amp;M Input'!$C$15+'TTS Calculation Summary'!AI87*'TTS O&amp;M Input'!$C$16+'TTS Calculation Summary'!AG87*'TTS O&amp;M Input'!$C$14</f>
        <v>89139.292884571216</v>
      </c>
      <c r="J87" s="114">
        <f>'TTS Analytical Costs'!P88</f>
        <v>18941</v>
      </c>
      <c r="K87" s="114">
        <f>'TTS Calculation Summary'!AL87*$L$8</f>
        <v>57611.418222953173</v>
      </c>
      <c r="L87" s="115">
        <f t="shared" si="5"/>
        <v>2267890.6179240076</v>
      </c>
    </row>
    <row r="88" spans="1:12" x14ac:dyDescent="0.25">
      <c r="A88" s="113">
        <v>78</v>
      </c>
      <c r="B88" s="114">
        <v>0</v>
      </c>
      <c r="C88" s="114">
        <f>IF('TTS Calculation Summary'!$V88&gt;150000,'TTS Labor'!$B$39,'TTS Labor'!$E$39)*0.8</f>
        <v>971074.46</v>
      </c>
      <c r="D88" s="114">
        <f t="shared" si="6"/>
        <v>108486.67500381885</v>
      </c>
      <c r="E88" s="114">
        <f t="shared" si="7"/>
        <v>108486.67500381885</v>
      </c>
      <c r="F88" s="114">
        <f>'TTS O&amp;M Input'!$C$10*'TTS Calculation Summary'!Y88</f>
        <v>756265.66628527676</v>
      </c>
      <c r="G88" s="114">
        <f>'TTS Calculation Summary'!AA88*2000*'TTS O&amp;M Input'!$C$11</f>
        <v>152772.41238730092</v>
      </c>
      <c r="H88" s="114">
        <f>'TTS Calculation Summary'!AC88*2000*'TTS O&amp;M Input'!$C$12</f>
        <v>3503.2404250788504</v>
      </c>
      <c r="I88" s="114">
        <f>'TTS Calculation Summary'!AD88*'TTS O&amp;M Input'!$C$18+'TTS Calculation Summary'!AE88*'TTS O&amp;M Input'!$C$17+'TTS Calculation Summary'!AF88*'TTS O&amp;M Input'!$C$13+'TTS Calculation Summary'!AH88*'TTS O&amp;M Input'!$C$15+'TTS Calculation Summary'!AI88*'TTS O&amp;M Input'!$C$16+'TTS Calculation Summary'!AG88*'TTS O&amp;M Input'!$C$14</f>
        <v>89042.091453662724</v>
      </c>
      <c r="J88" s="114">
        <f>'TTS Analytical Costs'!P89</f>
        <v>18941</v>
      </c>
      <c r="K88" s="114">
        <f>'TTS Calculation Summary'!AL88*$L$8</f>
        <v>57548.596182226524</v>
      </c>
      <c r="L88" s="115">
        <f t="shared" si="5"/>
        <v>2266120.8167411839</v>
      </c>
    </row>
    <row r="89" spans="1:12" x14ac:dyDescent="0.25">
      <c r="A89" s="113">
        <v>79</v>
      </c>
      <c r="B89" s="114">
        <v>0</v>
      </c>
      <c r="C89" s="114">
        <f>IF('TTS Calculation Summary'!$V89&gt;150000,'TTS Labor'!$B$39,'TTS Labor'!$E$39)*0.8</f>
        <v>971074.46</v>
      </c>
      <c r="D89" s="114">
        <f t="shared" si="6"/>
        <v>108486.67500381885</v>
      </c>
      <c r="E89" s="114">
        <f t="shared" si="7"/>
        <v>108486.67500381885</v>
      </c>
      <c r="F89" s="114">
        <f>'TTS O&amp;M Input'!$C$10*'TTS Calculation Summary'!Y89</f>
        <v>754850.2980643051</v>
      </c>
      <c r="G89" s="114">
        <f>'TTS Calculation Summary'!AA89*2000*'TTS O&amp;M Input'!$C$11</f>
        <v>152608.54029875222</v>
      </c>
      <c r="H89" s="114">
        <f>'TTS Calculation Summary'!AC89*2000*'TTS O&amp;M Input'!$C$12</f>
        <v>3497.5135050763924</v>
      </c>
      <c r="I89" s="114">
        <f>'TTS Calculation Summary'!AD89*'TTS O&amp;M Input'!$C$18+'TTS Calculation Summary'!AE89*'TTS O&amp;M Input'!$C$17+'TTS Calculation Summary'!AF89*'TTS O&amp;M Input'!$C$13+'TTS Calculation Summary'!AH89*'TTS O&amp;M Input'!$C$15+'TTS Calculation Summary'!AI89*'TTS O&amp;M Input'!$C$16+'TTS Calculation Summary'!AG89*'TTS O&amp;M Input'!$C$14</f>
        <v>88946.580011071477</v>
      </c>
      <c r="J89" s="114">
        <f>'TTS Analytical Costs'!P90</f>
        <v>18941</v>
      </c>
      <c r="K89" s="114">
        <f>'TTS Calculation Summary'!AL89*$L$8</f>
        <v>57486.866394092263</v>
      </c>
      <c r="L89" s="115">
        <f t="shared" si="5"/>
        <v>2264378.6082809353</v>
      </c>
    </row>
    <row r="90" spans="1:12" x14ac:dyDescent="0.25">
      <c r="A90" s="113">
        <v>80</v>
      </c>
      <c r="B90" s="114">
        <v>0</v>
      </c>
      <c r="C90" s="114">
        <f>IF('TTS Calculation Summary'!$V90&gt;150000,'TTS Labor'!$B$39,'TTS Labor'!$E$39)*0.8</f>
        <v>971074.46</v>
      </c>
      <c r="D90" s="114">
        <f t="shared" si="6"/>
        <v>108486.67500381885</v>
      </c>
      <c r="E90" s="114">
        <f t="shared" si="7"/>
        <v>108486.67500381885</v>
      </c>
      <c r="F90" s="114">
        <f>'TTS O&amp;M Input'!$C$10*'TTS Calculation Summary'!Y90</f>
        <v>753455.51033138204</v>
      </c>
      <c r="G90" s="114">
        <f>'TTS Calculation Summary'!AA90*2000*'TTS O&amp;M Input'!$C$11</f>
        <v>152447.40440173601</v>
      </c>
      <c r="H90" s="114">
        <f>'TTS Calculation Summary'!AC90*2000*'TTS O&amp;M Input'!$C$12</f>
        <v>3491.8822081306557</v>
      </c>
      <c r="I90" s="114">
        <f>'TTS Calculation Summary'!AD90*'TTS O&amp;M Input'!$C$18+'TTS Calculation Summary'!AE90*'TTS O&amp;M Input'!$C$17+'TTS Calculation Summary'!AF90*'TTS O&amp;M Input'!$C$13+'TTS Calculation Summary'!AH90*'TTS O&amp;M Input'!$C$15+'TTS Calculation Summary'!AI90*'TTS O&amp;M Input'!$C$16+'TTS Calculation Summary'!AG90*'TTS O&amp;M Input'!$C$14</f>
        <v>88852.663334268538</v>
      </c>
      <c r="J90" s="114">
        <f>'TTS Analytical Costs'!P91</f>
        <v>18941</v>
      </c>
      <c r="K90" s="114">
        <f>'TTS Calculation Summary'!AL90*$L$8</f>
        <v>57426.167315489402</v>
      </c>
      <c r="L90" s="115">
        <f t="shared" si="5"/>
        <v>2262662.4375986448</v>
      </c>
    </row>
    <row r="91" spans="1:12" x14ac:dyDescent="0.25">
      <c r="A91" s="113">
        <v>81</v>
      </c>
      <c r="B91" s="114">
        <v>0</v>
      </c>
      <c r="C91" s="114">
        <f>IF('TTS Calculation Summary'!$V91&gt;150000,'TTS Labor'!$B$39,'TTS Labor'!$E$39)*0.8</f>
        <v>971074.46</v>
      </c>
      <c r="D91" s="114">
        <f t="shared" si="6"/>
        <v>108486.67500381885</v>
      </c>
      <c r="E91" s="114">
        <f t="shared" si="7"/>
        <v>108486.67500381885</v>
      </c>
      <c r="F91" s="114">
        <f>'TTS O&amp;M Input'!$C$10*'TTS Calculation Summary'!Y91</f>
        <v>752074.97923848883</v>
      </c>
      <c r="G91" s="114">
        <f>'TTS Calculation Summary'!AA91*2000*'TTS O&amp;M Input'!$C$11</f>
        <v>152288.096864875</v>
      </c>
      <c r="H91" s="114">
        <f>'TTS Calculation Summary'!AC91*2000*'TTS O&amp;M Input'!$C$12</f>
        <v>3486.3148078035392</v>
      </c>
      <c r="I91" s="114">
        <f>'TTS Calculation Summary'!AD91*'TTS O&amp;M Input'!$C$18+'TTS Calculation Summary'!AE91*'TTS O&amp;M Input'!$C$17+'TTS Calculation Summary'!AF91*'TTS O&amp;M Input'!$C$13+'TTS Calculation Summary'!AH91*'TTS O&amp;M Input'!$C$15+'TTS Calculation Summary'!AI91*'TTS O&amp;M Input'!$C$16+'TTS Calculation Summary'!AG91*'TTS O&amp;M Input'!$C$14</f>
        <v>88759.812301514816</v>
      </c>
      <c r="J91" s="114">
        <f>'TTS Analytical Costs'!P92</f>
        <v>18941</v>
      </c>
      <c r="K91" s="114">
        <f>'TTS Calculation Summary'!AL91*$L$8</f>
        <v>57366.156970923017</v>
      </c>
      <c r="L91" s="115">
        <f t="shared" si="5"/>
        <v>2260964.1701912428</v>
      </c>
    </row>
    <row r="92" spans="1:12" x14ac:dyDescent="0.25">
      <c r="A92" s="113">
        <v>82</v>
      </c>
      <c r="B92" s="114">
        <v>0</v>
      </c>
      <c r="C92" s="114">
        <f>IF('TTS Calculation Summary'!$V92&gt;150000,'TTS Labor'!$B$39,'TTS Labor'!$E$39)*0.8</f>
        <v>971074.46</v>
      </c>
      <c r="D92" s="114">
        <f t="shared" si="6"/>
        <v>108486.67500381885</v>
      </c>
      <c r="E92" s="114">
        <f t="shared" si="7"/>
        <v>108486.67500381885</v>
      </c>
      <c r="F92" s="114">
        <f>'TTS O&amp;M Input'!$C$10*'TTS Calculation Summary'!Y92</f>
        <v>750713.44492609927</v>
      </c>
      <c r="G92" s="114">
        <f>'TTS Calculation Summary'!AA92*2000*'TTS O&amp;M Input'!$C$11</f>
        <v>152131.3632325606</v>
      </c>
      <c r="H92" s="114">
        <f>'TTS Calculation Summary'!AC92*2000*'TTS O&amp;M Input'!$C$12</f>
        <v>3480.8373590085157</v>
      </c>
      <c r="I92" s="114">
        <f>'TTS Calculation Summary'!AD92*'TTS O&amp;M Input'!$C$18+'TTS Calculation Summary'!AE92*'TTS O&amp;M Input'!$C$17+'TTS Calculation Summary'!AF92*'TTS O&amp;M Input'!$C$13+'TTS Calculation Summary'!AH92*'TTS O&amp;M Input'!$C$15+'TTS Calculation Summary'!AI92*'TTS O&amp;M Input'!$C$16+'TTS Calculation Summary'!AG92*'TTS O&amp;M Input'!$C$14</f>
        <v>88668.461446970337</v>
      </c>
      <c r="J92" s="114">
        <f>'TTS Analytical Costs'!P93</f>
        <v>18941</v>
      </c>
      <c r="K92" s="114">
        <f>'TTS Calculation Summary'!AL92*$L$8</f>
        <v>57307.116203200057</v>
      </c>
      <c r="L92" s="115">
        <f t="shared" si="5"/>
        <v>2259290.0331754768</v>
      </c>
    </row>
    <row r="93" spans="1:12" x14ac:dyDescent="0.25">
      <c r="A93" s="113">
        <v>83</v>
      </c>
      <c r="B93" s="114">
        <v>0</v>
      </c>
      <c r="C93" s="114">
        <f>IF('TTS Calculation Summary'!$V93&gt;150000,'TTS Labor'!$B$39,'TTS Labor'!$E$39)*0.8</f>
        <v>971074.46</v>
      </c>
      <c r="D93" s="114">
        <f t="shared" si="6"/>
        <v>108486.67500381885</v>
      </c>
      <c r="E93" s="114">
        <f t="shared" si="7"/>
        <v>108486.67500381885</v>
      </c>
      <c r="F93" s="114">
        <f>'TTS O&amp;M Input'!$C$10*'TTS Calculation Summary'!Y93</f>
        <v>749374.52186572948</v>
      </c>
      <c r="G93" s="114">
        <f>'TTS Calculation Summary'!AA93*2000*'TTS O&amp;M Input'!$C$11</f>
        <v>151977.60819167754</v>
      </c>
      <c r="H93" s="114">
        <f>'TTS Calculation Summary'!AC93*2000*'TTS O&amp;M Input'!$C$12</f>
        <v>3475.4640045409551</v>
      </c>
      <c r="I93" s="114">
        <f>'TTS Calculation Summary'!AD93*'TTS O&amp;M Input'!$C$18+'TTS Calculation Summary'!AE93*'TTS O&amp;M Input'!$C$17+'TTS Calculation Summary'!AF93*'TTS O&amp;M Input'!$C$13+'TTS Calculation Summary'!AH93*'TTS O&amp;M Input'!$C$15+'TTS Calculation Summary'!AI93*'TTS O&amp;M Input'!$C$16+'TTS Calculation Summary'!AG93*'TTS O&amp;M Input'!$C$14</f>
        <v>88578.846638918068</v>
      </c>
      <c r="J93" s="114">
        <f>'TTS Analytical Costs'!P94</f>
        <v>18941</v>
      </c>
      <c r="K93" s="114">
        <f>'TTS Calculation Summary'!AL93*$L$8</f>
        <v>57249.197455826165</v>
      </c>
      <c r="L93" s="115">
        <f t="shared" si="5"/>
        <v>2257644.4481643303</v>
      </c>
    </row>
    <row r="94" spans="1:12" x14ac:dyDescent="0.25">
      <c r="A94" s="113">
        <v>84</v>
      </c>
      <c r="B94" s="114">
        <v>0</v>
      </c>
      <c r="C94" s="114">
        <f>IF('TTS Calculation Summary'!$V94&gt;150000,'TTS Labor'!$B$39,'TTS Labor'!$E$39)*0.8</f>
        <v>971074.46</v>
      </c>
      <c r="D94" s="114">
        <f t="shared" si="6"/>
        <v>108486.67500381885</v>
      </c>
      <c r="E94" s="114">
        <f t="shared" si="7"/>
        <v>108486.67500381885</v>
      </c>
      <c r="F94" s="114">
        <f>'TTS O&amp;M Input'!$C$10*'TTS Calculation Summary'!Y94</f>
        <v>748059.74570762261</v>
      </c>
      <c r="G94" s="114">
        <f>'TTS Calculation Summary'!AA94*2000*'TTS O&amp;M Input'!$C$11</f>
        <v>151827.1182718038</v>
      </c>
      <c r="H94" s="114">
        <f>'TTS Calculation Summary'!AC94*2000*'TTS O&amp;M Input'!$C$12</f>
        <v>3470.2047578936108</v>
      </c>
      <c r="I94" s="114">
        <f>'TTS Calculation Summary'!AD94*'TTS O&amp;M Input'!$C$18+'TTS Calculation Summary'!AE94*'TTS O&amp;M Input'!$C$17+'TTS Calculation Summary'!AF94*'TTS O&amp;M Input'!$C$13+'TTS Calculation Summary'!AH94*'TTS O&amp;M Input'!$C$15+'TTS Calculation Summary'!AI94*'TTS O&amp;M Input'!$C$16+'TTS Calculation Summary'!AG94*'TTS O&amp;M Input'!$C$14</f>
        <v>88491.134878667261</v>
      </c>
      <c r="J94" s="114">
        <f>'TTS Analytical Costs'!P95</f>
        <v>18941</v>
      </c>
      <c r="K94" s="114">
        <f>'TTS Calculation Summary'!AL94*$L$8</f>
        <v>57192.508663046261</v>
      </c>
      <c r="L94" s="115">
        <f t="shared" si="5"/>
        <v>2256029.5222866712</v>
      </c>
    </row>
    <row r="95" spans="1:12" x14ac:dyDescent="0.25">
      <c r="A95" s="113">
        <v>85</v>
      </c>
      <c r="B95" s="114">
        <v>0</v>
      </c>
      <c r="C95" s="114">
        <f>IF('TTS Calculation Summary'!$V95&gt;150000,'TTS Labor'!$B$39,'TTS Labor'!$E$39)*0.8</f>
        <v>971074.46</v>
      </c>
      <c r="D95" s="114">
        <f t="shared" si="6"/>
        <v>108486.67500381885</v>
      </c>
      <c r="E95" s="114">
        <f t="shared" si="7"/>
        <v>108486.67500381885</v>
      </c>
      <c r="F95" s="114">
        <f>'TTS O&amp;M Input'!$C$10*'TTS Calculation Summary'!Y95</f>
        <v>746756.98172579682</v>
      </c>
      <c r="G95" s="114">
        <f>'TTS Calculation Summary'!AA95*2000*'TTS O&amp;M Input'!$C$11</f>
        <v>151678.21166931992</v>
      </c>
      <c r="H95" s="114">
        <f>'TTS Calculation Summary'!AC95*2000*'TTS O&amp;M Input'!$C$12</f>
        <v>3465.0008442325643</v>
      </c>
      <c r="I95" s="114">
        <f>'TTS Calculation Summary'!AD95*'TTS O&amp;M Input'!$C$18+'TTS Calculation Summary'!AE95*'TTS O&amp;M Input'!$C$17+'TTS Calculation Summary'!AF95*'TTS O&amp;M Input'!$C$13+'TTS Calculation Summary'!AH95*'TTS O&amp;M Input'!$C$15+'TTS Calculation Summary'!AI95*'TTS O&amp;M Input'!$C$16+'TTS Calculation Summary'!AG95*'TTS O&amp;M Input'!$C$14</f>
        <v>88404.345941389678</v>
      </c>
      <c r="J95" s="114">
        <f>'TTS Analytical Costs'!P96</f>
        <v>18941</v>
      </c>
      <c r="K95" s="114">
        <f>'TTS Calculation Summary'!AL95*$L$8</f>
        <v>57136.416297930708</v>
      </c>
      <c r="L95" s="115">
        <f t="shared" si="5"/>
        <v>2254429.7664863076</v>
      </c>
    </row>
    <row r="96" spans="1:12" x14ac:dyDescent="0.25">
      <c r="A96" s="113">
        <v>86</v>
      </c>
      <c r="B96" s="114">
        <v>0</v>
      </c>
      <c r="C96" s="114">
        <f>IF('TTS Calculation Summary'!$V96&gt;150000,'TTS Labor'!$B$39,'TTS Labor'!$E$39)*0.8</f>
        <v>971074.46</v>
      </c>
      <c r="D96" s="114">
        <f t="shared" si="6"/>
        <v>108486.67500381885</v>
      </c>
      <c r="E96" s="114">
        <f t="shared" si="7"/>
        <v>108486.67500381885</v>
      </c>
      <c r="F96" s="114">
        <f>'TTS O&amp;M Input'!$C$10*'TTS Calculation Summary'!Y96</f>
        <v>745466.33510012319</v>
      </c>
      <c r="G96" s="114">
        <f>'TTS Calculation Summary'!AA96*2000*'TTS O&amp;M Input'!$C$11</f>
        <v>151530.79141124044</v>
      </c>
      <c r="H96" s="114">
        <f>'TTS Calculation Summary'!AC96*2000*'TTS O&amp;M Input'!$C$12</f>
        <v>3459.8488745942946</v>
      </c>
      <c r="I96" s="114">
        <f>'TTS Calculation Summary'!AD96*'TTS O&amp;M Input'!$C$18+'TTS Calculation Summary'!AE96*'TTS O&amp;M Input'!$C$17+'TTS Calculation Summary'!AF96*'TTS O&amp;M Input'!$C$13+'TTS Calculation Summary'!AH96*'TTS O&amp;M Input'!$C$15+'TTS Calculation Summary'!AI96*'TTS O&amp;M Input'!$C$16+'TTS Calculation Summary'!AG96*'TTS O&amp;M Input'!$C$14</f>
        <v>88318.423307211735</v>
      </c>
      <c r="J96" s="114">
        <f>'TTS Analytical Costs'!P97</f>
        <v>18941</v>
      </c>
      <c r="K96" s="114">
        <f>'TTS Calculation Summary'!AL96*$L$8</f>
        <v>57080.883831245621</v>
      </c>
      <c r="L96" s="115">
        <f t="shared" si="5"/>
        <v>2252845.0925320531</v>
      </c>
    </row>
    <row r="97" spans="1:12" x14ac:dyDescent="0.25">
      <c r="A97" s="113">
        <v>87</v>
      </c>
      <c r="B97" s="114">
        <v>0</v>
      </c>
      <c r="C97" s="114">
        <f>IF('TTS Calculation Summary'!$V97&gt;150000,'TTS Labor'!$B$39,'TTS Labor'!$E$39)*0.8</f>
        <v>971074.46</v>
      </c>
      <c r="D97" s="114">
        <f t="shared" si="6"/>
        <v>108486.67500381885</v>
      </c>
      <c r="E97" s="114">
        <f t="shared" si="7"/>
        <v>108486.67500381885</v>
      </c>
      <c r="F97" s="114">
        <f>'TTS O&amp;M Input'!$C$10*'TTS Calculation Summary'!Y97</f>
        <v>744200.79795713839</v>
      </c>
      <c r="G97" s="114">
        <f>'TTS Calculation Summary'!AA97*2000*'TTS O&amp;M Input'!$C$11</f>
        <v>151386.79477255544</v>
      </c>
      <c r="H97" s="114">
        <f>'TTS Calculation Summary'!AC97*2000*'TTS O&amp;M Input'!$C$12</f>
        <v>3454.8165518987389</v>
      </c>
      <c r="I97" s="114">
        <f>'TTS Calculation Summary'!AD97*'TTS O&amp;M Input'!$C$18+'TTS Calculation Summary'!AE97*'TTS O&amp;M Input'!$C$17+'TTS Calculation Summary'!AF97*'TTS O&amp;M Input'!$C$13+'TTS Calculation Summary'!AH97*'TTS O&amp;M Input'!$C$15+'TTS Calculation Summary'!AI97*'TTS O&amp;M Input'!$C$16+'TTS Calculation Summary'!AG97*'TTS O&amp;M Input'!$C$14</f>
        <v>88234.496100260891</v>
      </c>
      <c r="J97" s="114">
        <f>'TTS Analytical Costs'!P98</f>
        <v>18941</v>
      </c>
      <c r="K97" s="114">
        <f>'TTS Calculation Summary'!AL97*$L$8</f>
        <v>57026.641024695768</v>
      </c>
      <c r="L97" s="115">
        <f t="shared" si="5"/>
        <v>2251292.3564141872</v>
      </c>
    </row>
    <row r="98" spans="1:12" x14ac:dyDescent="0.25">
      <c r="A98" s="113">
        <v>88</v>
      </c>
      <c r="B98" s="114">
        <v>0</v>
      </c>
      <c r="C98" s="114">
        <f>IF('TTS Calculation Summary'!$V98&gt;150000,'TTS Labor'!$B$39,'TTS Labor'!$E$39)*0.8</f>
        <v>971074.46</v>
      </c>
      <c r="D98" s="114">
        <f t="shared" si="6"/>
        <v>108486.67500381885</v>
      </c>
      <c r="E98" s="114">
        <f t="shared" si="7"/>
        <v>108486.67500381885</v>
      </c>
      <c r="F98" s="114">
        <f>'TTS O&amp;M Input'!$C$10*'TTS Calculation Summary'!Y98</f>
        <v>742951.30246972758</v>
      </c>
      <c r="G98" s="114">
        <f>'TTS Calculation Summary'!AA98*2000*'TTS O&amp;M Input'!$C$11</f>
        <v>151245.03659296816</v>
      </c>
      <c r="H98" s="114">
        <f>'TTS Calculation Summary'!AC98*2000*'TTS O&amp;M Input'!$C$12</f>
        <v>3449.86245775507</v>
      </c>
      <c r="I98" s="114">
        <f>'TTS Calculation Summary'!AD98*'TTS O&amp;M Input'!$C$18+'TTS Calculation Summary'!AE98*'TTS O&amp;M Input'!$C$17+'TTS Calculation Summary'!AF98*'TTS O&amp;M Input'!$C$13+'TTS Calculation Summary'!AH98*'TTS O&amp;M Input'!$C$15+'TTS Calculation Summary'!AI98*'TTS O&amp;M Input'!$C$16+'TTS Calculation Summary'!AG98*'TTS O&amp;M Input'!$C$14</f>
        <v>88151.873560013802</v>
      </c>
      <c r="J98" s="114">
        <f>'TTS Analytical Costs'!P99</f>
        <v>18941</v>
      </c>
      <c r="K98" s="114">
        <f>'TTS Calculation Summary'!AL98*$L$8</f>
        <v>56973.241434382871</v>
      </c>
      <c r="L98" s="115">
        <f t="shared" si="5"/>
        <v>2249760.1265224852</v>
      </c>
    </row>
    <row r="99" spans="1:12" x14ac:dyDescent="0.25">
      <c r="A99" s="113">
        <v>89</v>
      </c>
      <c r="B99" s="114">
        <v>0</v>
      </c>
      <c r="C99" s="114">
        <f>IF('TTS Calculation Summary'!$V99&gt;150000,'TTS Labor'!$B$39,'TTS Labor'!$E$39)*0.8</f>
        <v>971074.46</v>
      </c>
      <c r="D99" s="114">
        <f t="shared" si="6"/>
        <v>108486.67500381885</v>
      </c>
      <c r="E99" s="114">
        <f t="shared" si="7"/>
        <v>108486.67500381885</v>
      </c>
      <c r="F99" s="114">
        <f>'TTS O&amp;M Input'!$C$10*'TTS Calculation Summary'!Y99</f>
        <v>741720.45777805103</v>
      </c>
      <c r="G99" s="114">
        <f>'TTS Calculation Summary'!AA99*2000*'TTS O&amp;M Input'!$C$11</f>
        <v>151105.72350440561</v>
      </c>
      <c r="H99" s="114">
        <f>'TTS Calculation Summary'!AC99*2000*'TTS O&amp;M Input'!$C$12</f>
        <v>3444.9938134327886</v>
      </c>
      <c r="I99" s="114">
        <f>'TTS Calculation Summary'!AD99*'TTS O&amp;M Input'!$C$18+'TTS Calculation Summary'!AE99*'TTS O&amp;M Input'!$C$17+'TTS Calculation Summary'!AF99*'TTS O&amp;M Input'!$C$13+'TTS Calculation Summary'!AH99*'TTS O&amp;M Input'!$C$15+'TTS Calculation Summary'!AI99*'TTS O&amp;M Input'!$C$16+'TTS Calculation Summary'!AG99*'TTS O&amp;M Input'!$C$14</f>
        <v>88070.6761201185</v>
      </c>
      <c r="J99" s="114">
        <f>'TTS Analytical Costs'!P100</f>
        <v>18941</v>
      </c>
      <c r="K99" s="114">
        <f>'TTS Calculation Summary'!AL99*$L$8</f>
        <v>56920.762897510256</v>
      </c>
      <c r="L99" s="115">
        <f t="shared" si="5"/>
        <v>2248251.4241211559</v>
      </c>
    </row>
    <row r="100" spans="1:12" x14ac:dyDescent="0.25">
      <c r="A100" s="113">
        <v>90</v>
      </c>
      <c r="B100" s="114">
        <v>0</v>
      </c>
      <c r="C100" s="114">
        <f>IF('TTS Calculation Summary'!$V100&gt;150000,'TTS Labor'!$B$39,'TTS Labor'!$E$39)*0.8</f>
        <v>971074.46</v>
      </c>
      <c r="D100" s="114">
        <f t="shared" si="6"/>
        <v>108486.67500381885</v>
      </c>
      <c r="E100" s="114">
        <f t="shared" si="7"/>
        <v>108486.67500381885</v>
      </c>
      <c r="F100" s="114">
        <f>'TTS O&amp;M Input'!$C$10*'TTS Calculation Summary'!Y100</f>
        <v>740506.46097589377</v>
      </c>
      <c r="G100" s="114">
        <f>'TTS Calculation Summary'!AA100*2000*'TTS O&amp;M Input'!$C$11</f>
        <v>150968.67961758655</v>
      </c>
      <c r="H100" s="114">
        <f>'TTS Calculation Summary'!AC100*2000*'TTS O&amp;M Input'!$C$12</f>
        <v>3440.2044720410408</v>
      </c>
      <c r="I100" s="114">
        <f>'TTS Calculation Summary'!AD100*'TTS O&amp;M Input'!$C$18+'TTS Calculation Summary'!AE100*'TTS O&amp;M Input'!$C$17+'TTS Calculation Summary'!AF100*'TTS O&amp;M Input'!$C$13+'TTS Calculation Summary'!AH100*'TTS O&amp;M Input'!$C$15+'TTS Calculation Summary'!AI100*'TTS O&amp;M Input'!$C$16+'TTS Calculation Summary'!AG100*'TTS O&amp;M Input'!$C$14</f>
        <v>87990.801265014597</v>
      </c>
      <c r="J100" s="114">
        <f>'TTS Analytical Costs'!P101</f>
        <v>18941</v>
      </c>
      <c r="K100" s="114">
        <f>'TTS Calculation Summary'!AL100*$L$8</f>
        <v>56869.139157473997</v>
      </c>
      <c r="L100" s="115">
        <f t="shared" si="5"/>
        <v>2246764.0954956478</v>
      </c>
    </row>
    <row r="101" spans="1:12" x14ac:dyDescent="0.25">
      <c r="A101" s="113">
        <v>91</v>
      </c>
      <c r="B101" s="114">
        <v>0</v>
      </c>
      <c r="C101" s="114">
        <f>IF('TTS Calculation Summary'!$V101&gt;150000,'TTS Labor'!$B$39,'TTS Labor'!$E$39)*0.8</f>
        <v>971074.46</v>
      </c>
      <c r="D101" s="114">
        <f t="shared" si="6"/>
        <v>108486.67500381885</v>
      </c>
      <c r="E101" s="114">
        <f t="shared" si="7"/>
        <v>108486.67500381885</v>
      </c>
      <c r="F101" s="114">
        <f>'TTS O&amp;M Input'!$C$10*'TTS Calculation Summary'!Y101</f>
        <v>739309.99522794131</v>
      </c>
      <c r="G101" s="114">
        <f>'TTS Calculation Summary'!AA101*2000*'TTS O&amp;M Input'!$C$11</f>
        <v>150833.96014334483</v>
      </c>
      <c r="H101" s="114">
        <f>'TTS Calculation Summary'!AC101*2000*'TTS O&amp;M Input'!$C$12</f>
        <v>3435.4963630605034</v>
      </c>
      <c r="I101" s="114">
        <f>'TTS Calculation Summary'!AD101*'TTS O&amp;M Input'!$C$18+'TTS Calculation Summary'!AE101*'TTS O&amp;M Input'!$C$17+'TTS Calculation Summary'!AF101*'TTS O&amp;M Input'!$C$13+'TTS Calculation Summary'!AH101*'TTS O&amp;M Input'!$C$15+'TTS Calculation Summary'!AI101*'TTS O&amp;M Input'!$C$16+'TTS Calculation Summary'!AG101*'TTS O&amp;M Input'!$C$14</f>
        <v>87912.281173863506</v>
      </c>
      <c r="J101" s="114">
        <f>'TTS Analytical Costs'!P102</f>
        <v>18941</v>
      </c>
      <c r="K101" s="114">
        <f>'TTS Calculation Summary'!AL101*$L$8</f>
        <v>56818.391011916377</v>
      </c>
      <c r="L101" s="115">
        <f t="shared" si="5"/>
        <v>2245298.9339277647</v>
      </c>
    </row>
    <row r="102" spans="1:12" x14ac:dyDescent="0.25">
      <c r="A102" s="113">
        <v>92</v>
      </c>
      <c r="B102" s="114">
        <v>0</v>
      </c>
      <c r="C102" s="114">
        <f>IF('TTS Calculation Summary'!$V102&gt;150000,'TTS Labor'!$B$39,'TTS Labor'!$E$39)*0.7</f>
        <v>849690.15249999997</v>
      </c>
      <c r="D102" s="114">
        <f t="shared" si="6"/>
        <v>108486.67500381885</v>
      </c>
      <c r="E102" s="114">
        <f t="shared" si="7"/>
        <v>108486.67500381885</v>
      </c>
      <c r="F102" s="114">
        <f>'TTS O&amp;M Input'!$C$10*'TTS Calculation Summary'!Y102</f>
        <v>738134.70218881359</v>
      </c>
      <c r="G102" s="114">
        <f>'TTS Calculation Summary'!AA102*2000*'TTS O&amp;M Input'!$C$11</f>
        <v>150702.05554980438</v>
      </c>
      <c r="H102" s="114">
        <f>'TTS Calculation Summary'!AC102*2000*'TTS O&amp;M Input'!$C$12</f>
        <v>3430.8866271265038</v>
      </c>
      <c r="I102" s="114">
        <f>'TTS Calculation Summary'!AD102*'TTS O&amp;M Input'!$C$18+'TTS Calculation Summary'!AE102*'TTS O&amp;M Input'!$C$17+'TTS Calculation Summary'!AF102*'TTS O&amp;M Input'!$C$13+'TTS Calculation Summary'!AH102*'TTS O&amp;M Input'!$C$15+'TTS Calculation Summary'!AI102*'TTS O&amp;M Input'!$C$16+'TTS Calculation Summary'!AG102*'TTS O&amp;M Input'!$C$14</f>
        <v>87835.401711808503</v>
      </c>
      <c r="J102" s="114">
        <f>'TTS Analytical Costs'!P103</f>
        <v>18941</v>
      </c>
      <c r="K102" s="114">
        <f>'TTS Calculation Summary'!AL102*$L$8</f>
        <v>56768.703217702634</v>
      </c>
      <c r="L102" s="115">
        <f t="shared" si="5"/>
        <v>2122476.2518028934</v>
      </c>
    </row>
    <row r="103" spans="1:12" x14ac:dyDescent="0.25">
      <c r="A103" s="113">
        <v>93</v>
      </c>
      <c r="B103" s="114">
        <v>0</v>
      </c>
      <c r="C103" s="114">
        <f>IF('TTS Calculation Summary'!$V103&gt;150000,'TTS Labor'!$B$39,'TTS Labor'!$E$39)*0.7</f>
        <v>849690.15249999997</v>
      </c>
      <c r="D103" s="114">
        <f t="shared" si="6"/>
        <v>108486.67500381885</v>
      </c>
      <c r="E103" s="114">
        <f t="shared" si="7"/>
        <v>108486.67500381885</v>
      </c>
      <c r="F103" s="114">
        <f>'TTS O&amp;M Input'!$C$10*'TTS Calculation Summary'!Y103</f>
        <v>736977.42768861202</v>
      </c>
      <c r="G103" s="114">
        <f>'TTS Calculation Summary'!AA103*2000*'TTS O&amp;M Input'!$C$11</f>
        <v>150572.5756433192</v>
      </c>
      <c r="H103" s="114">
        <f>'TTS Calculation Summary'!AC103*2000*'TTS O&amp;M Input'!$C$12</f>
        <v>3426.3616279461467</v>
      </c>
      <c r="I103" s="114">
        <f>'TTS Calculation Summary'!AD103*'TTS O&amp;M Input'!$C$18+'TTS Calculation Summary'!AE103*'TTS O&amp;M Input'!$C$17+'TTS Calculation Summary'!AF103*'TTS O&amp;M Input'!$C$13+'TTS Calculation Summary'!AH103*'TTS O&amp;M Input'!$C$15+'TTS Calculation Summary'!AI103*'TTS O&amp;M Input'!$C$16+'TTS Calculation Summary'!AG103*'TTS O&amp;M Input'!$C$14</f>
        <v>87759.935457826476</v>
      </c>
      <c r="J103" s="114">
        <f>'TTS Analytical Costs'!P104</f>
        <v>18941</v>
      </c>
      <c r="K103" s="114">
        <f>'TTS Calculation Summary'!AL103*$L$8</f>
        <v>56719.928790856917</v>
      </c>
      <c r="L103" s="115">
        <f t="shared" si="5"/>
        <v>2121060.7317161988</v>
      </c>
    </row>
    <row r="104" spans="1:12" x14ac:dyDescent="0.25">
      <c r="A104" s="113">
        <v>94</v>
      </c>
      <c r="B104" s="114">
        <v>0</v>
      </c>
      <c r="C104" s="114">
        <f>IF('TTS Calculation Summary'!$V104&gt;150000,'TTS Labor'!$B$39,'TTS Labor'!$E$39)*0.7</f>
        <v>849690.15249999997</v>
      </c>
      <c r="D104" s="114">
        <f t="shared" si="6"/>
        <v>108486.67500381885</v>
      </c>
      <c r="E104" s="114">
        <f t="shared" si="7"/>
        <v>108486.67500381885</v>
      </c>
      <c r="F104" s="114">
        <f>'TTS O&amp;M Input'!$C$10*'TTS Calculation Summary'!Y104</f>
        <v>735829.28848108347</v>
      </c>
      <c r="G104" s="114">
        <f>'TTS Calculation Summary'!AA104*2000*'TTS O&amp;M Input'!$C$11</f>
        <v>150444.31135145095</v>
      </c>
      <c r="H104" s="114">
        <f>'TTS Calculation Summary'!AC104*2000*'TTS O&amp;M Input'!$C$12</f>
        <v>3421.879111459009</v>
      </c>
      <c r="I104" s="114">
        <f>'TTS Calculation Summary'!AD104*'TTS O&amp;M Input'!$C$18+'TTS Calculation Summary'!AE104*'TTS O&amp;M Input'!$C$17+'TTS Calculation Summary'!AF104*'TTS O&amp;M Input'!$C$13+'TTS Calculation Summary'!AH104*'TTS O&amp;M Input'!$C$15+'TTS Calculation Summary'!AI104*'TTS O&amp;M Input'!$C$16+'TTS Calculation Summary'!AG104*'TTS O&amp;M Input'!$C$14</f>
        <v>87685.177714407328</v>
      </c>
      <c r="J104" s="114">
        <f>'TTS Analytical Costs'!P105</f>
        <v>18941</v>
      </c>
      <c r="K104" s="114">
        <f>'TTS Calculation Summary'!AL104*$L$8</f>
        <v>56671.612279898029</v>
      </c>
      <c r="L104" s="115">
        <f t="shared" si="5"/>
        <v>2119656.7714459365</v>
      </c>
    </row>
    <row r="105" spans="1:12" x14ac:dyDescent="0.25">
      <c r="A105" s="113">
        <v>95</v>
      </c>
      <c r="B105" s="114">
        <v>0</v>
      </c>
      <c r="C105" s="114">
        <f>IF('TTS Calculation Summary'!$V105&gt;150000,'TTS Labor'!$B$39,'TTS Labor'!$E$39)*0.7</f>
        <v>849690.15249999997</v>
      </c>
      <c r="D105" s="114">
        <f t="shared" si="6"/>
        <v>108486.67500381885</v>
      </c>
      <c r="E105" s="114">
        <f t="shared" si="7"/>
        <v>108486.67500381885</v>
      </c>
      <c r="F105" s="114">
        <f>'TTS O&amp;M Input'!$C$10*'TTS Calculation Summary'!Y105</f>
        <v>734702.98311044183</v>
      </c>
      <c r="G105" s="114">
        <f>'TTS Calculation Summary'!AA105*2000*'TTS O&amp;M Input'!$C$11</f>
        <v>150319.01973010704</v>
      </c>
      <c r="H105" s="114">
        <f>'TTS Calculation Summary'!AC105*2000*'TTS O&amp;M Input'!$C$12</f>
        <v>3417.5004823784302</v>
      </c>
      <c r="I105" s="114">
        <f>'TTS Calculation Summary'!AD105*'TTS O&amp;M Input'!$C$18+'TTS Calculation Summary'!AE105*'TTS O&amp;M Input'!$C$17+'TTS Calculation Summary'!AF105*'TTS O&amp;M Input'!$C$13+'TTS Calculation Summary'!AH105*'TTS O&amp;M Input'!$C$15+'TTS Calculation Summary'!AI105*'TTS O&amp;M Input'!$C$16+'TTS Calculation Summary'!AG105*'TTS O&amp;M Input'!$C$14</f>
        <v>87612.152566530509</v>
      </c>
      <c r="J105" s="114">
        <f>'TTS Analytical Costs'!P106</f>
        <v>18941</v>
      </c>
      <c r="K105" s="114">
        <f>'TTS Calculation Summary'!AL105*$L$8</f>
        <v>56624.415558912457</v>
      </c>
      <c r="L105" s="115">
        <f t="shared" si="5"/>
        <v>2118280.5739560081</v>
      </c>
    </row>
    <row r="106" spans="1:12" x14ac:dyDescent="0.25">
      <c r="A106" s="113">
        <v>96</v>
      </c>
      <c r="B106" s="114">
        <v>0</v>
      </c>
      <c r="C106" s="114">
        <f>IF('TTS Calculation Summary'!$V106&gt;150000,'TTS Labor'!$B$39,'TTS Labor'!$E$39)*0.7</f>
        <v>849690.15249999997</v>
      </c>
      <c r="D106" s="114">
        <f t="shared" si="6"/>
        <v>108486.67500381885</v>
      </c>
      <c r="E106" s="114">
        <f t="shared" si="7"/>
        <v>108486.67500381885</v>
      </c>
      <c r="F106" s="114">
        <f>'TTS O&amp;M Input'!$C$10*'TTS Calculation Summary'!Y106</f>
        <v>733584.65351033059</v>
      </c>
      <c r="G106" s="114">
        <f>'TTS Calculation Summary'!AA106*2000*'TTS O&amp;M Input'!$C$11</f>
        <v>150194.68737635869</v>
      </c>
      <c r="H106" s="114">
        <f>'TTS Calculation Summary'!AC106*2000*'TTS O&amp;M Input'!$C$12</f>
        <v>3413.155377303246</v>
      </c>
      <c r="I106" s="114">
        <f>'TTS Calculation Summary'!AD106*'TTS O&amp;M Input'!$C$18+'TTS Calculation Summary'!AE106*'TTS O&amp;M Input'!$C$17+'TTS Calculation Summary'!AF106*'TTS O&amp;M Input'!$C$13+'TTS Calculation Summary'!AH106*'TTS O&amp;M Input'!$C$15+'TTS Calculation Summary'!AI106*'TTS O&amp;M Input'!$C$16+'TTS Calculation Summary'!AG106*'TTS O&amp;M Input'!$C$14</f>
        <v>87539.686519551804</v>
      </c>
      <c r="J106" s="114">
        <f>'TTS Analytical Costs'!P107</f>
        <v>18941</v>
      </c>
      <c r="K106" s="114">
        <f>'TTS Calculation Summary'!AL106*$L$8</f>
        <v>56577.580189185435</v>
      </c>
      <c r="L106" s="115">
        <f t="shared" si="5"/>
        <v>2116914.2654803675</v>
      </c>
    </row>
    <row r="107" spans="1:12" x14ac:dyDescent="0.25">
      <c r="A107" s="113">
        <v>97</v>
      </c>
      <c r="B107" s="114">
        <v>0</v>
      </c>
      <c r="C107" s="114">
        <f>IF('TTS Calculation Summary'!$V107&gt;150000,'TTS Labor'!$B$39,'TTS Labor'!$E$39)*0.7</f>
        <v>849690.15249999997</v>
      </c>
      <c r="D107" s="114">
        <f t="shared" si="6"/>
        <v>108486.67500381885</v>
      </c>
      <c r="E107" s="114">
        <f t="shared" si="7"/>
        <v>108486.67500381885</v>
      </c>
      <c r="F107" s="114">
        <f>'TTS O&amp;M Input'!$C$10*'TTS Calculation Summary'!Y107</f>
        <v>732482.77449354855</v>
      </c>
      <c r="G107" s="114">
        <f>'TTS Calculation Summary'!AA107*2000*'TTS O&amp;M Input'!$C$11</f>
        <v>150072.60645538263</v>
      </c>
      <c r="H107" s="114">
        <f>'TTS Calculation Summary'!AC107*2000*'TTS O&amp;M Input'!$C$12</f>
        <v>3408.888954177452</v>
      </c>
      <c r="I107" s="114">
        <f>'TTS Calculation Summary'!AD107*'TTS O&amp;M Input'!$C$18+'TTS Calculation Summary'!AE107*'TTS O&amp;M Input'!$C$17+'TTS Calculation Summary'!AF107*'TTS O&amp;M Input'!$C$13+'TTS Calculation Summary'!AH107*'TTS O&amp;M Input'!$C$15+'TTS Calculation Summary'!AI107*'TTS O&amp;M Input'!$C$16+'TTS Calculation Summary'!AG107*'TTS O&amp;M Input'!$C$14</f>
        <v>87468.532700871874</v>
      </c>
      <c r="J107" s="114">
        <f>'TTS Analytical Costs'!P108</f>
        <v>18941</v>
      </c>
      <c r="K107" s="114">
        <f>'TTS Calculation Summary'!AL107*$L$8</f>
        <v>56531.592922813041</v>
      </c>
      <c r="L107" s="115">
        <f t="shared" si="5"/>
        <v>2115568.8980344315</v>
      </c>
    </row>
    <row r="108" spans="1:12" x14ac:dyDescent="0.25">
      <c r="A108" s="113">
        <v>98</v>
      </c>
      <c r="B108" s="114">
        <v>0</v>
      </c>
      <c r="C108" s="114">
        <f>IF('TTS Calculation Summary'!$V108&gt;150000,'TTS Labor'!$B$39,'TTS Labor'!$E$39)*0.7</f>
        <v>849690.15249999997</v>
      </c>
      <c r="D108" s="114">
        <f t="shared" si="6"/>
        <v>108486.67500381885</v>
      </c>
      <c r="E108" s="114">
        <f t="shared" si="7"/>
        <v>108486.67500381885</v>
      </c>
      <c r="F108" s="114">
        <f>'TTS O&amp;M Input'!$C$10*'TTS Calculation Summary'!Y108</f>
        <v>731394.17418062605</v>
      </c>
      <c r="G108" s="114">
        <f>'TTS Calculation Summary'!AA108*2000*'TTS O&amp;M Input'!$C$11</f>
        <v>149952.33128961187</v>
      </c>
      <c r="H108" s="114">
        <f>'TTS Calculation Summary'!AC108*2000*'TTS O&amp;M Input'!$C$12</f>
        <v>3404.6856376837686</v>
      </c>
      <c r="I108" s="114">
        <f>'TTS Calculation Summary'!AD108*'TTS O&amp;M Input'!$C$18+'TTS Calculation Summary'!AE108*'TTS O&amp;M Input'!$C$17+'TTS Calculation Summary'!AF108*'TTS O&amp;M Input'!$C$13+'TTS Calculation Summary'!AH108*'TTS O&amp;M Input'!$C$15+'TTS Calculation Summary'!AI108*'TTS O&amp;M Input'!$C$16+'TTS Calculation Summary'!AG108*'TTS O&amp;M Input'!$C$14</f>
        <v>87398.43135113988</v>
      </c>
      <c r="J108" s="114">
        <f>'TTS Analytical Costs'!P109</f>
        <v>18941</v>
      </c>
      <c r="K108" s="114">
        <f>'TTS Calculation Summary'!AL108*$L$8</f>
        <v>56486.28587530669</v>
      </c>
      <c r="L108" s="115">
        <f t="shared" si="5"/>
        <v>2114240.4108420056</v>
      </c>
    </row>
    <row r="109" spans="1:12" x14ac:dyDescent="0.25">
      <c r="A109" s="113">
        <v>99</v>
      </c>
      <c r="B109" s="114">
        <v>0</v>
      </c>
      <c r="C109" s="114">
        <f>IF('TTS Calculation Summary'!$V109&gt;150000,'TTS Labor'!$B$39,'TTS Labor'!$E$39)*0.7</f>
        <v>849690.15249999997</v>
      </c>
      <c r="D109" s="114">
        <f t="shared" si="6"/>
        <v>108486.67500381885</v>
      </c>
      <c r="E109" s="114">
        <f t="shared" si="7"/>
        <v>108486.67500381885</v>
      </c>
      <c r="F109" s="114">
        <f>'TTS O&amp;M Input'!$C$10*'TTS Calculation Summary'!Y109</f>
        <v>730319.62106835505</v>
      </c>
      <c r="G109" s="114">
        <f>'TTS Calculation Summary'!AA109*2000*'TTS O&amp;M Input'!$C$11</f>
        <v>149833.88296936642</v>
      </c>
      <c r="H109" s="114">
        <f>'TTS Calculation Summary'!AC109*2000*'TTS O&amp;M Input'!$C$12</f>
        <v>3400.546164876173</v>
      </c>
      <c r="I109" s="114">
        <f>'TTS Calculation Summary'!AD109*'TTS O&amp;M Input'!$C$18+'TTS Calculation Summary'!AE109*'TTS O&amp;M Input'!$C$17+'TTS Calculation Summary'!AF109*'TTS O&amp;M Input'!$C$13+'TTS Calculation Summary'!AH109*'TTS O&amp;M Input'!$C$15+'TTS Calculation Summary'!AI109*'TTS O&amp;M Input'!$C$16+'TTS Calculation Summary'!AG109*'TTS O&amp;M Input'!$C$14</f>
        <v>87329.39476266806</v>
      </c>
      <c r="J109" s="114">
        <f>'TTS Analytical Costs'!P110</f>
        <v>18941</v>
      </c>
      <c r="K109" s="114">
        <f>'TTS Calculation Summary'!AL109*$L$8</f>
        <v>56441.66699128339</v>
      </c>
      <c r="L109" s="115">
        <f t="shared" si="5"/>
        <v>2112929.6144641866</v>
      </c>
    </row>
    <row r="110" spans="1:12" x14ac:dyDescent="0.25">
      <c r="A110" s="113">
        <v>100</v>
      </c>
      <c r="B110" s="114">
        <v>0</v>
      </c>
      <c r="C110" s="114">
        <f>IF('TTS Calculation Summary'!$V110&gt;150000,'TTS Labor'!$B$39,'TTS Labor'!$E$39)*0.7</f>
        <v>849690.15249999997</v>
      </c>
      <c r="D110" s="114">
        <f t="shared" si="6"/>
        <v>108486.67500381885</v>
      </c>
      <c r="E110" s="114">
        <f t="shared" si="7"/>
        <v>108486.67500381885</v>
      </c>
      <c r="F110" s="114">
        <f>'TTS O&amp;M Input'!$C$10*'TTS Calculation Summary'!Y110</f>
        <v>729262.7728251213</v>
      </c>
      <c r="G110" s="114">
        <f>'TTS Calculation Summary'!AA110*2000*'TTS O&amp;M Input'!$C$11</f>
        <v>149717.91836352614</v>
      </c>
      <c r="H110" s="114">
        <f>'TTS Calculation Summary'!AC110*2000*'TTS O&amp;M Input'!$C$12</f>
        <v>3396.4934916806014</v>
      </c>
      <c r="I110" s="114">
        <f>'TTS Calculation Summary'!AD110*'TTS O&amp;M Input'!$C$18+'TTS Calculation Summary'!AE110*'TTS O&amp;M Input'!$C$17+'TTS Calculation Summary'!AF110*'TTS O&amp;M Input'!$C$13+'TTS Calculation Summary'!AH110*'TTS O&amp;M Input'!$C$15+'TTS Calculation Summary'!AI110*'TTS O&amp;M Input'!$C$16+'TTS Calculation Summary'!AG110*'TTS O&amp;M Input'!$C$14</f>
        <v>87261.805785854347</v>
      </c>
      <c r="J110" s="114">
        <f>'TTS Analytical Costs'!P111</f>
        <v>18941</v>
      </c>
      <c r="K110" s="114">
        <f>'TTS Calculation Summary'!AL110*$L$8</f>
        <v>56397.983709932727</v>
      </c>
      <c r="L110" s="115">
        <f t="shared" si="5"/>
        <v>2111641.4766837531</v>
      </c>
    </row>
    <row r="111" spans="1:12" ht="13" x14ac:dyDescent="0.3">
      <c r="A111" s="116" t="s">
        <v>55</v>
      </c>
      <c r="B111" s="117">
        <f>SUM(B11:B110)</f>
        <v>7232445.0002545901</v>
      </c>
      <c r="C111" s="117">
        <f t="shared" ref="C111:L111" si="8">SUM(C11:C110)</f>
        <v>86911164.169999957</v>
      </c>
      <c r="D111" s="117">
        <f t="shared" si="8"/>
        <v>9329854.0503284335</v>
      </c>
      <c r="E111" s="117">
        <f t="shared" si="8"/>
        <v>9329854.0503284335</v>
      </c>
      <c r="F111" s="117">
        <f t="shared" si="8"/>
        <v>70905774.588538229</v>
      </c>
      <c r="G111" s="117">
        <f t="shared" si="8"/>
        <v>13875586.490302039</v>
      </c>
      <c r="H111" s="117">
        <f t="shared" si="8"/>
        <v>327040.54242801416</v>
      </c>
      <c r="I111" s="117">
        <f t="shared" si="8"/>
        <v>8087266.6860196944</v>
      </c>
      <c r="J111" s="117">
        <f t="shared" si="8"/>
        <v>1881204</v>
      </c>
      <c r="K111" s="117">
        <f t="shared" si="8"/>
        <v>5226863.3534278488</v>
      </c>
      <c r="L111" s="174">
        <f t="shared" si="8"/>
        <v>213107052.93162727</v>
      </c>
    </row>
    <row r="112" spans="1:12" ht="14.15" customHeight="1" x14ac:dyDescent="0.25">
      <c r="A112" s="707" t="s">
        <v>141</v>
      </c>
      <c r="B112" s="707"/>
      <c r="C112" s="707"/>
      <c r="D112" s="707"/>
      <c r="E112" s="707"/>
      <c r="F112" s="707"/>
      <c r="G112" s="707"/>
      <c r="H112" s="707"/>
      <c r="I112" s="707"/>
      <c r="J112" s="707"/>
      <c r="K112" s="707"/>
      <c r="L112" s="707"/>
    </row>
    <row r="113" spans="1:10" x14ac:dyDescent="0.25">
      <c r="A113" s="452" t="s">
        <v>83</v>
      </c>
      <c r="B113" s="452"/>
      <c r="C113" s="452"/>
      <c r="D113" s="452"/>
      <c r="E113" s="452"/>
      <c r="F113" s="320" t="s">
        <v>0</v>
      </c>
      <c r="G113" s="452"/>
      <c r="H113" s="320" t="s">
        <v>0</v>
      </c>
      <c r="I113" s="452"/>
      <c r="J113" s="452"/>
    </row>
    <row r="114" spans="1:10" s="396" customFormat="1" ht="14" x14ac:dyDescent="0.3">
      <c r="A114" s="92" t="s">
        <v>82</v>
      </c>
      <c r="B114" s="452"/>
      <c r="C114" s="452"/>
      <c r="D114" s="452"/>
      <c r="E114" s="452"/>
      <c r="F114" s="452"/>
      <c r="G114" s="452"/>
      <c r="H114" s="452"/>
      <c r="I114" s="452"/>
      <c r="J114" s="90"/>
    </row>
    <row r="115" spans="1:10" x14ac:dyDescent="0.25">
      <c r="A115" s="231"/>
      <c r="B115" s="231"/>
      <c r="C115" s="452"/>
      <c r="D115" s="320" t="s">
        <v>0</v>
      </c>
      <c r="E115" s="452"/>
      <c r="F115" s="452"/>
      <c r="G115" s="452"/>
      <c r="H115" s="452"/>
      <c r="I115" s="452"/>
      <c r="J115" s="452"/>
    </row>
    <row r="116" spans="1:10" x14ac:dyDescent="0.25">
      <c r="A116" s="452"/>
      <c r="B116" s="452"/>
      <c r="C116" s="452"/>
      <c r="D116" s="452"/>
      <c r="E116" s="452"/>
      <c r="F116" s="320" t="s">
        <v>0</v>
      </c>
      <c r="G116" s="452"/>
      <c r="H116" s="320" t="s">
        <v>0</v>
      </c>
      <c r="I116" s="452"/>
      <c r="J116" s="452"/>
    </row>
  </sheetData>
  <sheetProtection algorithmName="SHA-512" hashValue="ZMHJ5DUhHpomMKy3z2FSs1zru9CQhqjtrJjL7U3nmOjxsWArcrCPk0jIA+EwGTJhF/jB56LO5+1GqtMIN/bszA==" saltValue="O49Cu/adoAH5/xpIzz2DPA==" spinCount="100000" sheet="1" objects="1" scenarios="1"/>
  <mergeCells count="12">
    <mergeCell ref="K3:L3"/>
    <mergeCell ref="A112:L112"/>
    <mergeCell ref="L9:L10"/>
    <mergeCell ref="O7:P7"/>
    <mergeCell ref="A9:A10"/>
    <mergeCell ref="C9:C10"/>
    <mergeCell ref="E9:E10"/>
    <mergeCell ref="F9:I9"/>
    <mergeCell ref="J9:J10"/>
    <mergeCell ref="K9:K10"/>
    <mergeCell ref="D9:D10"/>
    <mergeCell ref="B9:B10"/>
  </mergeCells>
  <pageMargins left="0.7" right="0.7" top="0.75" bottom="0.75" header="0.6" footer="0.3"/>
  <pageSetup paperSize="17" scale="52" fitToHeight="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I119"/>
  <sheetViews>
    <sheetView view="pageBreakPreview" zoomScale="142" zoomScaleNormal="100" zoomScaleSheetLayoutView="142" workbookViewId="0">
      <pane xSplit="2" ySplit="9" topLeftCell="C106" activePane="bottomRight" state="frozen"/>
      <selection pane="topRight" activeCell="G32" sqref="G32"/>
      <selection pane="bottomLeft" activeCell="G32" sqref="G32"/>
      <selection pane="bottomRight" activeCell="E18" sqref="E18"/>
    </sheetView>
  </sheetViews>
  <sheetFormatPr defaultColWidth="9.26953125" defaultRowHeight="14" x14ac:dyDescent="0.3"/>
  <cols>
    <col min="1" max="1" width="10.26953125" style="7" customWidth="1"/>
    <col min="2" max="2" width="9.26953125" style="7"/>
    <col min="3" max="3" width="12.26953125" style="7" bestFit="1" customWidth="1"/>
    <col min="4" max="4" width="19" style="7" customWidth="1"/>
    <col min="5" max="5" width="27.54296875" style="7" customWidth="1"/>
    <col min="6" max="6" width="28" style="6" customWidth="1"/>
    <col min="7" max="8" width="19" style="7" customWidth="1"/>
    <col min="9" max="9" width="9.54296875" style="90" bestFit="1" customWidth="1"/>
    <col min="10" max="16384" width="9.26953125" style="90"/>
  </cols>
  <sheetData>
    <row r="2" spans="1:9" ht="14.5" x14ac:dyDescent="0.35">
      <c r="E2" s="7" t="s">
        <v>0</v>
      </c>
      <c r="F2" s="545"/>
      <c r="G2" s="685" t="s">
        <v>10</v>
      </c>
      <c r="H2" s="685"/>
    </row>
    <row r="3" spans="1:9" ht="18" customHeight="1" x14ac:dyDescent="0.3">
      <c r="A3" s="3"/>
      <c r="B3" s="3"/>
      <c r="C3" s="3"/>
      <c r="G3" s="530" t="s">
        <v>68</v>
      </c>
      <c r="H3" s="517">
        <v>142304.81804274194</v>
      </c>
    </row>
    <row r="4" spans="1:9" x14ac:dyDescent="0.3">
      <c r="A4" s="688" t="s">
        <v>1</v>
      </c>
      <c r="B4" s="689"/>
      <c r="C4" s="118" t="str">
        <f>'2019 CCP Summary'!B4</f>
        <v>REV 0 July 29, 2019</v>
      </c>
      <c r="E4" s="118"/>
      <c r="G4" s="530" t="s">
        <v>110</v>
      </c>
      <c r="H4" s="538">
        <v>1.4999999999999999E-2</v>
      </c>
      <c r="I4" s="97"/>
    </row>
    <row r="5" spans="1:9" x14ac:dyDescent="0.3">
      <c r="A5" s="690" t="s">
        <v>2</v>
      </c>
      <c r="B5" s="689"/>
      <c r="C5" s="544">
        <f>'2019 CCP Summary'!B5</f>
        <v>18106417</v>
      </c>
      <c r="E5" s="6"/>
      <c r="G5" s="530" t="s">
        <v>127</v>
      </c>
      <c r="H5" s="560">
        <v>3.0326873724835473</v>
      </c>
      <c r="I5" s="94"/>
    </row>
    <row r="6" spans="1:9" x14ac:dyDescent="0.3">
      <c r="A6" s="690" t="s">
        <v>3</v>
      </c>
      <c r="B6" s="689"/>
      <c r="C6" s="6" t="s">
        <v>128</v>
      </c>
      <c r="E6" s="6"/>
      <c r="G6" s="393"/>
      <c r="H6" s="393"/>
      <c r="I6" s="119"/>
    </row>
    <row r="7" spans="1:9" ht="14.75" customHeight="1" x14ac:dyDescent="0.3">
      <c r="A7" s="691" t="s">
        <v>5</v>
      </c>
      <c r="B7" s="689"/>
      <c r="C7" s="543" t="str">
        <f>'2019 CCP Summary'!B7</f>
        <v>Tyrone Mine Closure Closeout Plan</v>
      </c>
      <c r="E7" s="6"/>
      <c r="G7" s="393"/>
      <c r="H7" s="393"/>
    </row>
    <row r="8" spans="1:9" ht="14.75" customHeight="1" x14ac:dyDescent="0.3">
      <c r="A8" s="201"/>
      <c r="B8" s="145"/>
      <c r="D8" s="6"/>
      <c r="E8" s="6"/>
      <c r="G8" s="393"/>
      <c r="H8" s="393"/>
    </row>
    <row r="9" spans="1:9" ht="39" x14ac:dyDescent="0.3">
      <c r="A9" s="519" t="s">
        <v>74</v>
      </c>
      <c r="B9" s="519" t="s">
        <v>50</v>
      </c>
      <c r="C9" s="519" t="s">
        <v>56</v>
      </c>
      <c r="D9" s="519" t="s">
        <v>665</v>
      </c>
      <c r="E9" s="519" t="s">
        <v>666</v>
      </c>
      <c r="F9" s="519" t="s">
        <v>661</v>
      </c>
      <c r="G9" s="519" t="s">
        <v>129</v>
      </c>
      <c r="H9" s="519" t="s">
        <v>130</v>
      </c>
    </row>
    <row r="10" spans="1:9" x14ac:dyDescent="0.3">
      <c r="A10" s="169">
        <v>1</v>
      </c>
      <c r="B10" s="169">
        <v>2019</v>
      </c>
      <c r="C10" s="325">
        <v>0</v>
      </c>
      <c r="D10" s="325">
        <v>0</v>
      </c>
      <c r="E10" s="325">
        <v>0</v>
      </c>
      <c r="F10" s="325">
        <v>0</v>
      </c>
      <c r="G10" s="332">
        <v>0</v>
      </c>
      <c r="H10" s="325">
        <f t="shared" ref="H10:H17" si="0">+(G10*$H$5)+D10+C10</f>
        <v>0</v>
      </c>
    </row>
    <row r="11" spans="1:9" x14ac:dyDescent="0.3">
      <c r="A11" s="169">
        <v>2</v>
      </c>
      <c r="B11" s="169">
        <v>2020</v>
      </c>
      <c r="C11" s="325">
        <v>0</v>
      </c>
      <c r="D11" s="325">
        <v>0</v>
      </c>
      <c r="E11" s="325">
        <v>0</v>
      </c>
      <c r="F11" s="325">
        <v>0</v>
      </c>
      <c r="G11" s="332">
        <v>0</v>
      </c>
      <c r="H11" s="325">
        <f t="shared" si="0"/>
        <v>0</v>
      </c>
    </row>
    <row r="12" spans="1:9" x14ac:dyDescent="0.3">
      <c r="A12" s="169">
        <v>3</v>
      </c>
      <c r="B12" s="169">
        <v>2021</v>
      </c>
      <c r="C12" s="325">
        <v>0</v>
      </c>
      <c r="D12" s="325">
        <v>0</v>
      </c>
      <c r="E12" s="325">
        <v>0</v>
      </c>
      <c r="F12" s="325">
        <v>0</v>
      </c>
      <c r="G12" s="332">
        <v>0</v>
      </c>
      <c r="H12" s="325">
        <f t="shared" si="0"/>
        <v>0</v>
      </c>
    </row>
    <row r="13" spans="1:9" x14ac:dyDescent="0.3">
      <c r="A13" s="169">
        <v>4</v>
      </c>
      <c r="B13" s="169">
        <v>2022</v>
      </c>
      <c r="C13" s="325">
        <v>0</v>
      </c>
      <c r="D13" s="325">
        <v>0</v>
      </c>
      <c r="E13" s="325">
        <v>0</v>
      </c>
      <c r="F13" s="325">
        <v>0</v>
      </c>
      <c r="G13" s="332">
        <v>0</v>
      </c>
      <c r="H13" s="325">
        <f t="shared" si="0"/>
        <v>0</v>
      </c>
    </row>
    <row r="14" spans="1:9" x14ac:dyDescent="0.3">
      <c r="A14" s="169">
        <v>5</v>
      </c>
      <c r="B14" s="169">
        <v>2023</v>
      </c>
      <c r="C14" s="325">
        <v>0</v>
      </c>
      <c r="D14" s="325">
        <v>0</v>
      </c>
      <c r="E14" s="325">
        <v>0</v>
      </c>
      <c r="F14" s="325">
        <v>0</v>
      </c>
      <c r="G14" s="332">
        <v>0</v>
      </c>
      <c r="H14" s="325">
        <f t="shared" si="0"/>
        <v>0</v>
      </c>
    </row>
    <row r="15" spans="1:9" x14ac:dyDescent="0.3">
      <c r="A15" s="169">
        <v>6</v>
      </c>
      <c r="B15" s="169">
        <v>2024</v>
      </c>
      <c r="C15" s="325">
        <v>0</v>
      </c>
      <c r="D15" s="325">
        <v>0</v>
      </c>
      <c r="E15" s="325">
        <v>0</v>
      </c>
      <c r="F15" s="325">
        <v>0</v>
      </c>
      <c r="G15" s="332">
        <v>0</v>
      </c>
      <c r="H15" s="325">
        <f t="shared" si="0"/>
        <v>0</v>
      </c>
      <c r="I15" s="7"/>
    </row>
    <row r="16" spans="1:9" x14ac:dyDescent="0.3">
      <c r="A16" s="169">
        <v>7</v>
      </c>
      <c r="B16" s="169">
        <v>2025</v>
      </c>
      <c r="C16" s="325">
        <v>0</v>
      </c>
      <c r="D16" s="325">
        <v>0</v>
      </c>
      <c r="E16" s="325">
        <v>0</v>
      </c>
      <c r="F16" s="325">
        <v>0</v>
      </c>
      <c r="G16" s="332">
        <v>0</v>
      </c>
      <c r="H16" s="325">
        <f t="shared" si="0"/>
        <v>0</v>
      </c>
      <c r="I16" s="7"/>
    </row>
    <row r="17" spans="1:9" x14ac:dyDescent="0.3">
      <c r="A17" s="169">
        <v>8</v>
      </c>
      <c r="B17" s="169">
        <v>2026</v>
      </c>
      <c r="C17" s="325">
        <v>0</v>
      </c>
      <c r="D17" s="325">
        <v>0</v>
      </c>
      <c r="E17" s="325">
        <v>0</v>
      </c>
      <c r="F17" s="325">
        <v>0</v>
      </c>
      <c r="G17" s="332">
        <v>0</v>
      </c>
      <c r="H17" s="325">
        <f t="shared" si="0"/>
        <v>0</v>
      </c>
      <c r="I17" s="7"/>
    </row>
    <row r="18" spans="1:9" x14ac:dyDescent="0.3">
      <c r="A18" s="169">
        <v>9</v>
      </c>
      <c r="B18" s="169">
        <v>2027</v>
      </c>
      <c r="C18" s="325">
        <v>0</v>
      </c>
      <c r="D18" s="325">
        <v>0</v>
      </c>
      <c r="E18" s="325">
        <v>0</v>
      </c>
      <c r="F18" s="325">
        <v>0</v>
      </c>
      <c r="G18" s="332">
        <v>0</v>
      </c>
      <c r="H18" s="325">
        <f t="shared" ref="H18:H81" si="1">+(G18*$H$5)+D18+C18</f>
        <v>0</v>
      </c>
      <c r="I18" s="7"/>
    </row>
    <row r="19" spans="1:9" ht="14.5" x14ac:dyDescent="0.35">
      <c r="A19" s="169">
        <v>10</v>
      </c>
      <c r="B19" s="169">
        <v>2028</v>
      </c>
      <c r="C19" s="325">
        <v>0</v>
      </c>
      <c r="D19" s="325">
        <v>0</v>
      </c>
      <c r="E19" s="325">
        <v>0</v>
      </c>
      <c r="F19" s="325">
        <v>0</v>
      </c>
      <c r="G19" s="332">
        <v>0</v>
      </c>
      <c r="H19" s="325">
        <f t="shared" si="1"/>
        <v>0</v>
      </c>
      <c r="I19" s="1"/>
    </row>
    <row r="20" spans="1:9" ht="14.5" x14ac:dyDescent="0.35">
      <c r="A20" s="169">
        <v>11</v>
      </c>
      <c r="B20" s="169">
        <v>2029</v>
      </c>
      <c r="C20" s="325">
        <v>0</v>
      </c>
      <c r="D20" s="325">
        <v>0</v>
      </c>
      <c r="E20" s="325">
        <v>0</v>
      </c>
      <c r="F20" s="325">
        <v>0</v>
      </c>
      <c r="G20" s="332">
        <v>0</v>
      </c>
      <c r="H20" s="325">
        <f t="shared" si="1"/>
        <v>0</v>
      </c>
      <c r="I20" s="1"/>
    </row>
    <row r="21" spans="1:9" ht="14.5" x14ac:dyDescent="0.35">
      <c r="A21" s="169">
        <v>12</v>
      </c>
      <c r="B21" s="169">
        <v>2030</v>
      </c>
      <c r="C21" s="325">
        <v>0</v>
      </c>
      <c r="D21" s="325">
        <v>0</v>
      </c>
      <c r="E21" s="325">
        <v>0</v>
      </c>
      <c r="F21" s="325">
        <v>0</v>
      </c>
      <c r="G21" s="332">
        <v>0</v>
      </c>
      <c r="H21" s="325">
        <f t="shared" si="1"/>
        <v>0</v>
      </c>
      <c r="I21" s="1"/>
    </row>
    <row r="22" spans="1:9" ht="14.5" x14ac:dyDescent="0.35">
      <c r="A22" s="169">
        <v>13</v>
      </c>
      <c r="B22" s="169">
        <v>2031</v>
      </c>
      <c r="C22" s="325">
        <v>0</v>
      </c>
      <c r="D22" s="325">
        <v>0</v>
      </c>
      <c r="E22" s="325">
        <v>0</v>
      </c>
      <c r="F22" s="325">
        <v>0</v>
      </c>
      <c r="G22" s="332">
        <v>0</v>
      </c>
      <c r="H22" s="325">
        <f t="shared" si="1"/>
        <v>0</v>
      </c>
      <c r="I22" s="1"/>
    </row>
    <row r="23" spans="1:9" ht="14.5" x14ac:dyDescent="0.35">
      <c r="A23" s="169">
        <v>14</v>
      </c>
      <c r="B23" s="169">
        <v>2032</v>
      </c>
      <c r="C23" s="561">
        <f>H3</f>
        <v>142304.81804274194</v>
      </c>
      <c r="D23" s="325">
        <v>0</v>
      </c>
      <c r="E23" s="325">
        <v>0</v>
      </c>
      <c r="F23" s="325">
        <v>0</v>
      </c>
      <c r="G23" s="332">
        <v>0</v>
      </c>
      <c r="H23" s="325">
        <f>+(G23*$H$5)+D23+C23</f>
        <v>142304.81804274194</v>
      </c>
      <c r="I23" s="1"/>
    </row>
    <row r="24" spans="1:9" ht="14.5" x14ac:dyDescent="0.35">
      <c r="A24" s="169">
        <v>15</v>
      </c>
      <c r="B24" s="169">
        <v>2033</v>
      </c>
      <c r="C24" s="325">
        <v>0</v>
      </c>
      <c r="D24" s="325">
        <f>$H$3*$H$4</f>
        <v>2134.5722706411289</v>
      </c>
      <c r="E24" s="89" t="s">
        <v>120</v>
      </c>
      <c r="F24" s="89" t="s">
        <v>120</v>
      </c>
      <c r="G24" s="332">
        <v>24328.6660000872</v>
      </c>
      <c r="H24" s="325">
        <f>+(G24*$H$5)+D24</f>
        <v>75915.810438475397</v>
      </c>
      <c r="I24" s="1"/>
    </row>
    <row r="25" spans="1:9" ht="14.5" x14ac:dyDescent="0.35">
      <c r="A25" s="169">
        <v>16</v>
      </c>
      <c r="B25" s="169">
        <v>2034</v>
      </c>
      <c r="C25" s="325">
        <v>0</v>
      </c>
      <c r="D25" s="325">
        <f t="shared" ref="D25:D79" si="2">$H$3*$H$4</f>
        <v>2134.5722706411289</v>
      </c>
      <c r="E25" s="89" t="s">
        <v>120</v>
      </c>
      <c r="F25" s="89" t="s">
        <v>120</v>
      </c>
      <c r="G25" s="332">
        <v>24056.107427563307</v>
      </c>
      <c r="H25" s="325">
        <f t="shared" si="1"/>
        <v>75089.225497320047</v>
      </c>
      <c r="I25" s="1"/>
    </row>
    <row r="26" spans="1:9" x14ac:dyDescent="0.3">
      <c r="A26" s="169">
        <v>17</v>
      </c>
      <c r="B26" s="169">
        <v>2035</v>
      </c>
      <c r="C26" s="325">
        <v>0</v>
      </c>
      <c r="D26" s="325">
        <f t="shared" si="2"/>
        <v>2134.5722706411289</v>
      </c>
      <c r="E26" s="89" t="s">
        <v>120</v>
      </c>
      <c r="F26" s="89" t="s">
        <v>120</v>
      </c>
      <c r="G26" s="332">
        <v>23786.184990604612</v>
      </c>
      <c r="H26" s="325">
        <f t="shared" si="1"/>
        <v>74270.635131205418</v>
      </c>
      <c r="I26" s="7"/>
    </row>
    <row r="27" spans="1:9" ht="14.5" x14ac:dyDescent="0.35">
      <c r="A27" s="169">
        <v>18</v>
      </c>
      <c r="B27" s="169">
        <v>2036</v>
      </c>
      <c r="C27" s="325">
        <v>0</v>
      </c>
      <c r="D27" s="325">
        <f t="shared" si="2"/>
        <v>2134.5722706411289</v>
      </c>
      <c r="E27" s="89" t="s">
        <v>120</v>
      </c>
      <c r="F27" s="89" t="s">
        <v>120</v>
      </c>
      <c r="G27" s="332">
        <v>23518.820834659356</v>
      </c>
      <c r="H27" s="325">
        <f t="shared" si="1"/>
        <v>73459.80323161553</v>
      </c>
      <c r="I27" s="1"/>
    </row>
    <row r="28" spans="1:9" ht="14.5" x14ac:dyDescent="0.35">
      <c r="A28" s="169">
        <v>19</v>
      </c>
      <c r="B28" s="169">
        <v>2037</v>
      </c>
      <c r="C28" s="325">
        <v>0</v>
      </c>
      <c r="D28" s="325">
        <f t="shared" si="2"/>
        <v>2134.5722706411289</v>
      </c>
      <c r="E28" s="89" t="s">
        <v>120</v>
      </c>
      <c r="F28" s="89" t="s">
        <v>120</v>
      </c>
      <c r="G28" s="332">
        <v>23254.32308990477</v>
      </c>
      <c r="H28" s="325">
        <f t="shared" si="1"/>
        <v>72657.664261047918</v>
      </c>
      <c r="I28" s="1"/>
    </row>
    <row r="29" spans="1:9" ht="14.5" x14ac:dyDescent="0.35">
      <c r="A29" s="169">
        <v>20</v>
      </c>
      <c r="B29" s="169">
        <v>2038</v>
      </c>
      <c r="C29" s="325">
        <v>0</v>
      </c>
      <c r="D29" s="325">
        <f t="shared" si="2"/>
        <v>2134.5722706411289</v>
      </c>
      <c r="E29" s="89" t="s">
        <v>120</v>
      </c>
      <c r="F29" s="89" t="s">
        <v>120</v>
      </c>
      <c r="G29" s="332">
        <v>22992.677932956889</v>
      </c>
      <c r="H29" s="325">
        <f t="shared" si="1"/>
        <v>71864.176297500599</v>
      </c>
      <c r="I29" s="1"/>
    </row>
    <row r="30" spans="1:9" ht="14.5" x14ac:dyDescent="0.35">
      <c r="A30" s="169">
        <v>21</v>
      </c>
      <c r="B30" s="169">
        <v>2039</v>
      </c>
      <c r="C30" s="325">
        <v>0</v>
      </c>
      <c r="D30" s="325">
        <f t="shared" si="2"/>
        <v>2134.5722706411289</v>
      </c>
      <c r="E30" s="89" t="s">
        <v>120</v>
      </c>
      <c r="F30" s="89" t="s">
        <v>120</v>
      </c>
      <c r="G30" s="332">
        <v>22739.669374065445</v>
      </c>
      <c r="H30" s="325">
        <f t="shared" si="1"/>
        <v>71096.880435820261</v>
      </c>
      <c r="I30" s="1"/>
    </row>
    <row r="31" spans="1:9" x14ac:dyDescent="0.3">
      <c r="A31" s="169">
        <v>22</v>
      </c>
      <c r="B31" s="169">
        <v>2040</v>
      </c>
      <c r="C31" s="325">
        <v>0</v>
      </c>
      <c r="D31" s="325">
        <f t="shared" si="2"/>
        <v>2134.5722706411289</v>
      </c>
      <c r="E31" s="89" t="s">
        <v>120</v>
      </c>
      <c r="F31" s="89" t="s">
        <v>120</v>
      </c>
      <c r="G31" s="332">
        <v>22502.780066204796</v>
      </c>
      <c r="H31" s="325">
        <f t="shared" si="1"/>
        <v>70378.469223194901</v>
      </c>
      <c r="I31" s="7"/>
    </row>
    <row r="32" spans="1:9" ht="14.5" x14ac:dyDescent="0.35">
      <c r="A32" s="169">
        <v>23</v>
      </c>
      <c r="B32" s="169">
        <v>2041</v>
      </c>
      <c r="C32" s="325">
        <v>0</v>
      </c>
      <c r="D32" s="325">
        <f t="shared" si="2"/>
        <v>2134.5722706411289</v>
      </c>
      <c r="E32" s="89" t="s">
        <v>120</v>
      </c>
      <c r="F32" s="89" t="s">
        <v>120</v>
      </c>
      <c r="G32" s="332">
        <v>22280.104170608018</v>
      </c>
      <c r="H32" s="325">
        <f t="shared" si="1"/>
        <v>69703.162846462088</v>
      </c>
      <c r="I32" s="1"/>
    </row>
    <row r="33" spans="1:9" ht="14.5" x14ac:dyDescent="0.35">
      <c r="A33" s="169">
        <v>24</v>
      </c>
      <c r="B33" s="169">
        <v>2042</v>
      </c>
      <c r="C33" s="325">
        <v>0</v>
      </c>
      <c r="D33" s="325">
        <f t="shared" si="2"/>
        <v>2134.5722706411289</v>
      </c>
      <c r="E33" s="89" t="s">
        <v>120</v>
      </c>
      <c r="F33" s="89" t="s">
        <v>120</v>
      </c>
      <c r="G33" s="332">
        <v>22070.369275629593</v>
      </c>
      <c r="H33" s="325">
        <f t="shared" si="1"/>
        <v>69067.102478891858</v>
      </c>
      <c r="I33" s="1"/>
    </row>
    <row r="34" spans="1:9" ht="14.5" x14ac:dyDescent="0.35">
      <c r="A34" s="169">
        <v>25</v>
      </c>
      <c r="B34" s="169">
        <v>2043</v>
      </c>
      <c r="C34" s="325">
        <v>0</v>
      </c>
      <c r="D34" s="325">
        <f t="shared" si="2"/>
        <v>2134.5722706411289</v>
      </c>
      <c r="E34" s="89" t="s">
        <v>120</v>
      </c>
      <c r="F34" s="89" t="s">
        <v>120</v>
      </c>
      <c r="G34" s="332">
        <v>21871.4712345523</v>
      </c>
      <c r="H34" s="325">
        <f t="shared" si="1"/>
        <v>68463.906901305032</v>
      </c>
      <c r="I34" s="1"/>
    </row>
    <row r="35" spans="1:9" ht="14.5" x14ac:dyDescent="0.35">
      <c r="A35" s="169">
        <v>26</v>
      </c>
      <c r="B35" s="169">
        <v>2044</v>
      </c>
      <c r="C35" s="325">
        <v>0</v>
      </c>
      <c r="D35" s="325">
        <f t="shared" si="2"/>
        <v>2134.5722706411289</v>
      </c>
      <c r="E35" s="89" t="s">
        <v>120</v>
      </c>
      <c r="F35" s="89" t="s">
        <v>120</v>
      </c>
      <c r="G35" s="332">
        <v>21682.392009290506</v>
      </c>
      <c r="H35" s="325">
        <f t="shared" si="1"/>
        <v>67890.488722454626</v>
      </c>
      <c r="I35" s="1"/>
    </row>
    <row r="36" spans="1:9" ht="14.5" x14ac:dyDescent="0.35">
      <c r="A36" s="169">
        <v>27</v>
      </c>
      <c r="B36" s="169">
        <v>2045</v>
      </c>
      <c r="C36" s="325">
        <v>0</v>
      </c>
      <c r="D36" s="325">
        <f t="shared" si="2"/>
        <v>2134.5722706411289</v>
      </c>
      <c r="E36" s="89" t="s">
        <v>120</v>
      </c>
      <c r="F36" s="89" t="s">
        <v>120</v>
      </c>
      <c r="G36" s="332">
        <v>21502.423821981156</v>
      </c>
      <c r="H36" s="325">
        <f t="shared" si="1"/>
        <v>67344.70147335279</v>
      </c>
      <c r="I36" s="1"/>
    </row>
    <row r="37" spans="1:9" ht="14.5" x14ac:dyDescent="0.35">
      <c r="A37" s="169">
        <v>28</v>
      </c>
      <c r="B37" s="169">
        <v>2046</v>
      </c>
      <c r="C37" s="325">
        <v>0</v>
      </c>
      <c r="D37" s="325">
        <f t="shared" si="2"/>
        <v>2134.5722706411289</v>
      </c>
      <c r="E37" s="89" t="s">
        <v>120</v>
      </c>
      <c r="F37" s="89" t="s">
        <v>120</v>
      </c>
      <c r="G37" s="332">
        <v>21330.953186625167</v>
      </c>
      <c r="H37" s="325">
        <f t="shared" si="1"/>
        <v>66824.684642756954</v>
      </c>
      <c r="I37" s="1"/>
    </row>
    <row r="38" spans="1:9" ht="14.5" x14ac:dyDescent="0.35">
      <c r="A38" s="169">
        <v>29</v>
      </c>
      <c r="B38" s="169">
        <v>2047</v>
      </c>
      <c r="C38" s="325">
        <v>0</v>
      </c>
      <c r="D38" s="325">
        <f t="shared" si="2"/>
        <v>2134.5722706411289</v>
      </c>
      <c r="E38" s="89" t="s">
        <v>120</v>
      </c>
      <c r="F38" s="89" t="s">
        <v>120</v>
      </c>
      <c r="G38" s="332">
        <v>21167.34018385327</v>
      </c>
      <c r="H38" s="325">
        <f t="shared" si="1"/>
        <v>66328.49755527651</v>
      </c>
      <c r="I38" s="1"/>
    </row>
    <row r="39" spans="1:9" ht="14.5" x14ac:dyDescent="0.35">
      <c r="A39" s="169">
        <v>30</v>
      </c>
      <c r="B39" s="169">
        <v>2048</v>
      </c>
      <c r="C39" s="325">
        <v>0</v>
      </c>
      <c r="D39" s="325">
        <f t="shared" si="2"/>
        <v>2134.5722706411289</v>
      </c>
      <c r="E39" s="89" t="s">
        <v>120</v>
      </c>
      <c r="F39" s="89" t="s">
        <v>120</v>
      </c>
      <c r="G39" s="332">
        <v>21011.131068748819</v>
      </c>
      <c r="H39" s="325">
        <f t="shared" si="1"/>
        <v>65854.764144432411</v>
      </c>
      <c r="I39" s="1"/>
    </row>
    <row r="40" spans="1:9" ht="14.5" x14ac:dyDescent="0.35">
      <c r="A40" s="169">
        <v>31</v>
      </c>
      <c r="B40" s="169">
        <v>2049</v>
      </c>
      <c r="C40" s="325">
        <v>0</v>
      </c>
      <c r="D40" s="325">
        <f t="shared" si="2"/>
        <v>2134.5722706411289</v>
      </c>
      <c r="E40" s="89" t="s">
        <v>120</v>
      </c>
      <c r="F40" s="89" t="s">
        <v>120</v>
      </c>
      <c r="G40" s="332">
        <v>20861.531418475464</v>
      </c>
      <c r="H40" s="325">
        <f t="shared" si="1"/>
        <v>65401.075174120459</v>
      </c>
      <c r="I40" s="1"/>
    </row>
    <row r="41" spans="1:9" ht="14.5" x14ac:dyDescent="0.35">
      <c r="A41" s="169">
        <v>32</v>
      </c>
      <c r="B41" s="169">
        <v>2050</v>
      </c>
      <c r="C41" s="325">
        <v>0</v>
      </c>
      <c r="D41" s="325">
        <f t="shared" si="2"/>
        <v>2134.5722706411289</v>
      </c>
      <c r="E41" s="89" t="s">
        <v>120</v>
      </c>
      <c r="F41" s="89" t="s">
        <v>120</v>
      </c>
      <c r="G41" s="332">
        <v>20718.009189251508</v>
      </c>
      <c r="H41" s="325">
        <f t="shared" si="1"/>
        <v>64965.817121882268</v>
      </c>
      <c r="I41" s="1"/>
    </row>
    <row r="42" spans="1:9" ht="14.5" x14ac:dyDescent="0.35">
      <c r="A42" s="169">
        <v>33</v>
      </c>
      <c r="B42" s="169">
        <v>2051</v>
      </c>
      <c r="C42" s="325">
        <v>0</v>
      </c>
      <c r="D42" s="325">
        <f t="shared" si="2"/>
        <v>2134.5722706411289</v>
      </c>
      <c r="E42" s="89" t="s">
        <v>120</v>
      </c>
      <c r="F42" s="89" t="s">
        <v>120</v>
      </c>
      <c r="G42" s="332">
        <v>20580.174288937862</v>
      </c>
      <c r="H42" s="325">
        <f t="shared" si="1"/>
        <v>64547.806960213551</v>
      </c>
      <c r="I42" s="1"/>
    </row>
    <row r="43" spans="1:9" ht="14.5" x14ac:dyDescent="0.35">
      <c r="A43" s="169">
        <v>34</v>
      </c>
      <c r="B43" s="169">
        <v>2052</v>
      </c>
      <c r="C43" s="325">
        <v>0</v>
      </c>
      <c r="D43" s="325">
        <f t="shared" si="2"/>
        <v>2134.5722706411289</v>
      </c>
      <c r="E43" s="89" t="s">
        <v>120</v>
      </c>
      <c r="F43" s="89" t="s">
        <v>120</v>
      </c>
      <c r="G43" s="332">
        <v>20447.448639571081</v>
      </c>
      <c r="H43" s="325">
        <f t="shared" si="1"/>
        <v>64145.291559374236</v>
      </c>
      <c r="I43" s="1"/>
    </row>
    <row r="44" spans="1:9" x14ac:dyDescent="0.3">
      <c r="A44" s="169">
        <v>35</v>
      </c>
      <c r="B44" s="169">
        <v>2053</v>
      </c>
      <c r="C44" s="325">
        <v>0</v>
      </c>
      <c r="D44" s="325">
        <f t="shared" si="2"/>
        <v>2134.5722706411289</v>
      </c>
      <c r="E44" s="89" t="s">
        <v>120</v>
      </c>
      <c r="F44" s="89" t="s">
        <v>120</v>
      </c>
      <c r="G44" s="332">
        <v>20319.628812109098</v>
      </c>
      <c r="H44" s="325">
        <f t="shared" si="1"/>
        <v>63757.65398267725</v>
      </c>
      <c r="I44" s="7"/>
    </row>
    <row r="45" spans="1:9" ht="14.5" x14ac:dyDescent="0.35">
      <c r="A45" s="169">
        <v>36</v>
      </c>
      <c r="B45" s="169">
        <v>2054</v>
      </c>
      <c r="C45" s="325">
        <v>0</v>
      </c>
      <c r="D45" s="325">
        <f t="shared" si="2"/>
        <v>2134.5722706411289</v>
      </c>
      <c r="E45" s="89" t="s">
        <v>120</v>
      </c>
      <c r="F45" s="89" t="s">
        <v>120</v>
      </c>
      <c r="G45" s="332">
        <v>20196.232431927619</v>
      </c>
      <c r="H45" s="325">
        <f t="shared" si="1"/>
        <v>63383.431338690702</v>
      </c>
      <c r="I45" s="1"/>
    </row>
    <row r="46" spans="1:9" ht="14.5" x14ac:dyDescent="0.35">
      <c r="A46" s="169">
        <v>37</v>
      </c>
      <c r="B46" s="169">
        <v>2055</v>
      </c>
      <c r="C46" s="325">
        <v>0</v>
      </c>
      <c r="D46" s="325">
        <f t="shared" si="2"/>
        <v>2134.5722706411289</v>
      </c>
      <c r="E46" s="89" t="s">
        <v>120</v>
      </c>
      <c r="F46" s="89" t="s">
        <v>120</v>
      </c>
      <c r="G46" s="332">
        <v>20076.919892121688</v>
      </c>
      <c r="H46" s="325">
        <f t="shared" si="1"/>
        <v>63021.593705842315</v>
      </c>
      <c r="I46" s="1"/>
    </row>
    <row r="47" spans="1:9" ht="14.5" x14ac:dyDescent="0.35">
      <c r="A47" s="169">
        <v>38</v>
      </c>
      <c r="B47" s="169">
        <v>2056</v>
      </c>
      <c r="C47" s="325">
        <v>0</v>
      </c>
      <c r="D47" s="325">
        <f t="shared" si="2"/>
        <v>2134.5722706411289</v>
      </c>
      <c r="E47" s="89" t="s">
        <v>120</v>
      </c>
      <c r="F47" s="89" t="s">
        <v>120</v>
      </c>
      <c r="G47" s="332">
        <v>19961.510553492491</v>
      </c>
      <c r="H47" s="325">
        <f t="shared" si="1"/>
        <v>62671.593261914866</v>
      </c>
      <c r="I47" s="1"/>
    </row>
    <row r="48" spans="1:9" ht="14.5" x14ac:dyDescent="0.35">
      <c r="A48" s="169">
        <v>39</v>
      </c>
      <c r="B48" s="169">
        <v>2057</v>
      </c>
      <c r="C48" s="325">
        <v>0</v>
      </c>
      <c r="D48" s="325">
        <f t="shared" si="2"/>
        <v>2134.5722706411289</v>
      </c>
      <c r="E48" s="89" t="s">
        <v>120</v>
      </c>
      <c r="F48" s="89" t="s">
        <v>120</v>
      </c>
      <c r="G48" s="332">
        <v>19849.712014815399</v>
      </c>
      <c r="H48" s="325">
        <f t="shared" si="1"/>
        <v>62332.543245406734</v>
      </c>
      <c r="I48" s="1"/>
    </row>
    <row r="49" spans="1:9" ht="14.5" x14ac:dyDescent="0.35">
      <c r="A49" s="169">
        <v>40</v>
      </c>
      <c r="B49" s="169">
        <v>2058</v>
      </c>
      <c r="C49" s="325">
        <v>0</v>
      </c>
      <c r="D49" s="325">
        <f t="shared" si="2"/>
        <v>2134.5722706411289</v>
      </c>
      <c r="E49" s="89" t="s">
        <v>120</v>
      </c>
      <c r="F49" s="89" t="s">
        <v>120</v>
      </c>
      <c r="G49" s="332">
        <v>19741.357256670402</v>
      </c>
      <c r="H49" s="325">
        <f t="shared" si="1"/>
        <v>62003.937138631896</v>
      </c>
      <c r="I49" s="1"/>
    </row>
    <row r="50" spans="1:9" x14ac:dyDescent="0.3">
      <c r="A50" s="169">
        <v>41</v>
      </c>
      <c r="B50" s="169">
        <v>2059</v>
      </c>
      <c r="C50" s="325">
        <v>0</v>
      </c>
      <c r="D50" s="325">
        <f t="shared" si="2"/>
        <v>2134.5722706411289</v>
      </c>
      <c r="E50" s="89" t="s">
        <v>120</v>
      </c>
      <c r="F50" s="89" t="s">
        <v>120</v>
      </c>
      <c r="G50" s="332">
        <v>19636.253573221915</v>
      </c>
      <c r="H50" s="325">
        <f t="shared" si="1"/>
        <v>61685.19052503616</v>
      </c>
      <c r="I50" s="7"/>
    </row>
    <row r="51" spans="1:9" ht="14.5" x14ac:dyDescent="0.35">
      <c r="A51" s="169">
        <v>42</v>
      </c>
      <c r="B51" s="169">
        <v>2060</v>
      </c>
      <c r="C51" s="325">
        <v>0</v>
      </c>
      <c r="D51" s="325">
        <f t="shared" si="2"/>
        <v>2134.5722706411289</v>
      </c>
      <c r="E51" s="89" t="s">
        <v>120</v>
      </c>
      <c r="F51" s="89" t="s">
        <v>120</v>
      </c>
      <c r="G51" s="332">
        <v>19534.276472428886</v>
      </c>
      <c r="H51" s="325">
        <f t="shared" si="1"/>
        <v>61375.925859178664</v>
      </c>
      <c r="I51" s="1"/>
    </row>
    <row r="52" spans="1:9" ht="14.5" x14ac:dyDescent="0.35">
      <c r="A52" s="169">
        <v>43</v>
      </c>
      <c r="B52" s="169">
        <v>2061</v>
      </c>
      <c r="C52" s="325">
        <v>0</v>
      </c>
      <c r="D52" s="325">
        <f t="shared" si="2"/>
        <v>2134.5722706411289</v>
      </c>
      <c r="E52" s="89" t="s">
        <v>120</v>
      </c>
      <c r="F52" s="89" t="s">
        <v>120</v>
      </c>
      <c r="G52" s="332">
        <v>19435.262584407752</v>
      </c>
      <c r="H52" s="325">
        <f t="shared" si="1"/>
        <v>61075.647691276477</v>
      </c>
      <c r="I52" s="1"/>
    </row>
    <row r="53" spans="1:9" ht="14.5" x14ac:dyDescent="0.35">
      <c r="A53" s="169">
        <v>44</v>
      </c>
      <c r="B53" s="169">
        <v>2062</v>
      </c>
      <c r="C53" s="325">
        <v>0</v>
      </c>
      <c r="D53" s="325">
        <f t="shared" si="2"/>
        <v>2134.5722706411289</v>
      </c>
      <c r="E53" s="89" t="s">
        <v>120</v>
      </c>
      <c r="F53" s="89" t="s">
        <v>120</v>
      </c>
      <c r="G53" s="332">
        <v>19339.096371906846</v>
      </c>
      <c r="H53" s="325">
        <f t="shared" si="1"/>
        <v>60784.005632965403</v>
      </c>
      <c r="I53" s="1"/>
    </row>
    <row r="54" spans="1:9" ht="14.5" x14ac:dyDescent="0.35">
      <c r="A54" s="169">
        <v>45</v>
      </c>
      <c r="B54" s="169">
        <v>2063</v>
      </c>
      <c r="C54" s="325">
        <v>0</v>
      </c>
      <c r="D54" s="325">
        <f t="shared" si="2"/>
        <v>2134.5722706411289</v>
      </c>
      <c r="E54" s="89" t="s">
        <v>120</v>
      </c>
      <c r="F54" s="89" t="s">
        <v>120</v>
      </c>
      <c r="G54" s="332">
        <v>19245.625895167723</v>
      </c>
      <c r="H54" s="325">
        <f t="shared" si="1"/>
        <v>60500.538898458646</v>
      </c>
      <c r="I54" s="1"/>
    </row>
    <row r="55" spans="1:9" ht="14.5" x14ac:dyDescent="0.35">
      <c r="A55" s="169">
        <v>46</v>
      </c>
      <c r="B55" s="169">
        <v>2064</v>
      </c>
      <c r="C55" s="325">
        <v>0</v>
      </c>
      <c r="D55" s="325">
        <f t="shared" si="2"/>
        <v>2134.5722706411289</v>
      </c>
      <c r="E55" s="89" t="s">
        <v>120</v>
      </c>
      <c r="F55" s="89" t="s">
        <v>120</v>
      </c>
      <c r="G55" s="332">
        <v>19154.667093914897</v>
      </c>
      <c r="H55" s="325">
        <f t="shared" si="1"/>
        <v>60224.689290482958</v>
      </c>
      <c r="I55" s="1"/>
    </row>
    <row r="56" spans="1:9" ht="14.5" x14ac:dyDescent="0.35">
      <c r="A56" s="169">
        <v>47</v>
      </c>
      <c r="B56" s="169">
        <v>2065</v>
      </c>
      <c r="C56" s="325">
        <v>0</v>
      </c>
      <c r="D56" s="325">
        <f t="shared" si="2"/>
        <v>2134.5722706411289</v>
      </c>
      <c r="E56" s="89" t="s">
        <v>120</v>
      </c>
      <c r="F56" s="89" t="s">
        <v>120</v>
      </c>
      <c r="G56" s="332">
        <v>19066.219967600489</v>
      </c>
      <c r="H56" s="325">
        <f t="shared" si="1"/>
        <v>59956.456807376802</v>
      </c>
      <c r="I56" s="1"/>
    </row>
    <row r="57" spans="1:9" ht="14.5" x14ac:dyDescent="0.35">
      <c r="A57" s="169">
        <v>48</v>
      </c>
      <c r="B57" s="169">
        <v>2066</v>
      </c>
      <c r="C57" s="325">
        <v>0</v>
      </c>
      <c r="D57" s="325">
        <f t="shared" si="2"/>
        <v>2134.5722706411289</v>
      </c>
      <c r="E57" s="89" t="s">
        <v>120</v>
      </c>
      <c r="F57" s="89" t="s">
        <v>120</v>
      </c>
      <c r="G57" s="332">
        <v>18979.900284333104</v>
      </c>
      <c r="H57" s="325">
        <f t="shared" si="1"/>
        <v>59694.676193935025</v>
      </c>
      <c r="I57" s="1"/>
    </row>
    <row r="58" spans="1:9" ht="14.5" x14ac:dyDescent="0.35">
      <c r="A58" s="169">
        <v>49</v>
      </c>
      <c r="B58" s="169">
        <v>2067</v>
      </c>
      <c r="C58" s="325">
        <v>0</v>
      </c>
      <c r="D58" s="325">
        <f t="shared" si="2"/>
        <v>2134.5722706411289</v>
      </c>
      <c r="E58" s="89" t="s">
        <v>120</v>
      </c>
      <c r="F58" s="89" t="s">
        <v>120</v>
      </c>
      <c r="G58" s="332">
        <v>18895.807759539777</v>
      </c>
      <c r="H58" s="325">
        <f t="shared" si="1"/>
        <v>59439.649855874042</v>
      </c>
      <c r="I58" s="1"/>
    </row>
    <row r="59" spans="1:9" x14ac:dyDescent="0.3">
      <c r="A59" s="169">
        <v>50</v>
      </c>
      <c r="B59" s="169">
        <v>2068</v>
      </c>
      <c r="C59" s="325">
        <v>0</v>
      </c>
      <c r="D59" s="325">
        <f t="shared" si="2"/>
        <v>2134.5722706411289</v>
      </c>
      <c r="E59" s="89" t="s">
        <v>120</v>
      </c>
      <c r="F59" s="89" t="s">
        <v>120</v>
      </c>
      <c r="G59" s="332">
        <v>18787.51967887213</v>
      </c>
      <c r="H59" s="325">
        <f t="shared" si="1"/>
        <v>59111.24596104279</v>
      </c>
      <c r="I59" s="7"/>
    </row>
    <row r="60" spans="1:9" ht="14.5" x14ac:dyDescent="0.35">
      <c r="A60" s="169">
        <v>51</v>
      </c>
      <c r="B60" s="169">
        <v>2069</v>
      </c>
      <c r="C60" s="325">
        <v>0</v>
      </c>
      <c r="D60" s="325">
        <f t="shared" si="2"/>
        <v>2134.5722706411289</v>
      </c>
      <c r="E60" s="89" t="s">
        <v>120</v>
      </c>
      <c r="F60" s="89" t="s">
        <v>120</v>
      </c>
      <c r="G60" s="332">
        <v>18693.061103675907</v>
      </c>
      <c r="H60" s="325">
        <f t="shared" si="1"/>
        <v>58824.782632822418</v>
      </c>
      <c r="I60" s="1"/>
    </row>
    <row r="61" spans="1:9" ht="14.5" x14ac:dyDescent="0.35">
      <c r="A61" s="169">
        <v>52</v>
      </c>
      <c r="B61" s="169">
        <v>2070</v>
      </c>
      <c r="C61" s="325">
        <v>0</v>
      </c>
      <c r="D61" s="325">
        <f t="shared" si="2"/>
        <v>2134.5722706411289</v>
      </c>
      <c r="E61" s="89" t="s">
        <v>120</v>
      </c>
      <c r="F61" s="89" t="s">
        <v>120</v>
      </c>
      <c r="G61" s="332">
        <v>18630.39367511711</v>
      </c>
      <c r="H61" s="325">
        <f t="shared" si="1"/>
        <v>58634.731913566138</v>
      </c>
      <c r="I61" s="1"/>
    </row>
    <row r="62" spans="1:9" ht="14.5" x14ac:dyDescent="0.35">
      <c r="A62" s="169">
        <v>53</v>
      </c>
      <c r="B62" s="169">
        <v>2071</v>
      </c>
      <c r="C62" s="325">
        <v>0</v>
      </c>
      <c r="D62" s="325">
        <f t="shared" si="2"/>
        <v>2134.5722706411289</v>
      </c>
      <c r="E62" s="89" t="s">
        <v>120</v>
      </c>
      <c r="F62" s="89" t="s">
        <v>120</v>
      </c>
      <c r="G62" s="332">
        <v>18569.294324749062</v>
      </c>
      <c r="H62" s="325">
        <f t="shared" si="1"/>
        <v>58449.436685238004</v>
      </c>
      <c r="I62" s="1"/>
    </row>
    <row r="63" spans="1:9" ht="14.5" x14ac:dyDescent="0.35">
      <c r="A63" s="169">
        <v>54</v>
      </c>
      <c r="B63" s="169">
        <v>2072</v>
      </c>
      <c r="C63" s="325">
        <v>0</v>
      </c>
      <c r="D63" s="325">
        <f t="shared" si="2"/>
        <v>2134.5722706411289</v>
      </c>
      <c r="E63" s="89" t="s">
        <v>120</v>
      </c>
      <c r="F63" s="89" t="s">
        <v>120</v>
      </c>
      <c r="G63" s="332">
        <v>18509.774738157248</v>
      </c>
      <c r="H63" s="325">
        <f t="shared" si="1"/>
        <v>58268.932386565575</v>
      </c>
      <c r="I63" s="1"/>
    </row>
    <row r="64" spans="1:9" ht="14.5" x14ac:dyDescent="0.35">
      <c r="A64" s="169">
        <v>55</v>
      </c>
      <c r="B64" s="169">
        <v>2073</v>
      </c>
      <c r="C64" s="325">
        <v>0</v>
      </c>
      <c r="D64" s="325">
        <f t="shared" si="2"/>
        <v>2134.5722706411289</v>
      </c>
      <c r="E64" s="89" t="s">
        <v>120</v>
      </c>
      <c r="F64" s="89" t="s">
        <v>120</v>
      </c>
      <c r="G64" s="332">
        <v>18451.740316063737</v>
      </c>
      <c r="H64" s="325">
        <f t="shared" si="1"/>
        <v>58092.932127513195</v>
      </c>
      <c r="I64" s="1"/>
    </row>
    <row r="65" spans="1:9" ht="14.5" x14ac:dyDescent="0.35">
      <c r="A65" s="169">
        <v>56</v>
      </c>
      <c r="B65" s="169">
        <v>2074</v>
      </c>
      <c r="C65" s="325">
        <v>0</v>
      </c>
      <c r="D65" s="325">
        <f t="shared" si="2"/>
        <v>2134.5722706411289</v>
      </c>
      <c r="E65" s="89" t="s">
        <v>120</v>
      </c>
      <c r="F65" s="89" t="s">
        <v>120</v>
      </c>
      <c r="G65" s="332">
        <v>18395.132103489705</v>
      </c>
      <c r="H65" s="325">
        <f t="shared" si="1"/>
        <v>57921.257116061068</v>
      </c>
      <c r="I65" s="1"/>
    </row>
    <row r="66" spans="1:9" ht="14.5" x14ac:dyDescent="0.35">
      <c r="A66" s="169">
        <v>57</v>
      </c>
      <c r="B66" s="169">
        <v>2075</v>
      </c>
      <c r="C66" s="325">
        <v>0</v>
      </c>
      <c r="D66" s="325">
        <f t="shared" si="2"/>
        <v>2134.5722706411289</v>
      </c>
      <c r="E66" s="89" t="s">
        <v>120</v>
      </c>
      <c r="F66" s="89" t="s">
        <v>120</v>
      </c>
      <c r="G66" s="332">
        <v>18339.957926572919</v>
      </c>
      <c r="H66" s="325">
        <f t="shared" si="1"/>
        <v>57753.931086438359</v>
      </c>
      <c r="I66" s="1"/>
    </row>
    <row r="67" spans="1:9" ht="14.5" x14ac:dyDescent="0.35">
      <c r="A67" s="169">
        <v>58</v>
      </c>
      <c r="B67" s="169">
        <v>2076</v>
      </c>
      <c r="C67" s="325">
        <v>0</v>
      </c>
      <c r="D67" s="325">
        <f t="shared" si="2"/>
        <v>2134.5722706411289</v>
      </c>
      <c r="E67" s="89" t="s">
        <v>120</v>
      </c>
      <c r="F67" s="89" t="s">
        <v>120</v>
      </c>
      <c r="G67" s="332">
        <v>18286.094132835657</v>
      </c>
      <c r="H67" s="325">
        <f t="shared" si="1"/>
        <v>57590.579039337303</v>
      </c>
      <c r="I67" s="1"/>
    </row>
    <row r="68" spans="1:9" ht="14.5" x14ac:dyDescent="0.35">
      <c r="A68" s="169">
        <v>59</v>
      </c>
      <c r="B68" s="169">
        <v>2077</v>
      </c>
      <c r="C68" s="325">
        <v>0</v>
      </c>
      <c r="D68" s="325">
        <f t="shared" si="2"/>
        <v>2134.5722706411289</v>
      </c>
      <c r="E68" s="89" t="s">
        <v>120</v>
      </c>
      <c r="F68" s="89" t="s">
        <v>120</v>
      </c>
      <c r="G68" s="332">
        <v>18233.513394380174</v>
      </c>
      <c r="H68" s="325">
        <f t="shared" si="1"/>
        <v>57431.118097787505</v>
      </c>
      <c r="I68" s="1"/>
    </row>
    <row r="69" spans="1:9" ht="14.5" x14ac:dyDescent="0.35">
      <c r="A69" s="169">
        <v>60</v>
      </c>
      <c r="B69" s="169">
        <v>2078</v>
      </c>
      <c r="C69" s="325">
        <v>0</v>
      </c>
      <c r="D69" s="325">
        <f t="shared" si="2"/>
        <v>2134.5722706411289</v>
      </c>
      <c r="E69" s="89" t="s">
        <v>120</v>
      </c>
      <c r="F69" s="89" t="s">
        <v>120</v>
      </c>
      <c r="G69" s="332">
        <v>18182.310147789409</v>
      </c>
      <c r="H69" s="325">
        <f t="shared" si="1"/>
        <v>57275.834658421532</v>
      </c>
      <c r="I69" s="1"/>
    </row>
    <row r="70" spans="1:9" ht="14.5" x14ac:dyDescent="0.35">
      <c r="A70" s="169">
        <v>61</v>
      </c>
      <c r="B70" s="169">
        <v>2079</v>
      </c>
      <c r="C70" s="325">
        <v>0</v>
      </c>
      <c r="D70" s="325">
        <f t="shared" si="2"/>
        <v>2134.5722706411289</v>
      </c>
      <c r="E70" s="89" t="s">
        <v>120</v>
      </c>
      <c r="F70" s="89" t="s">
        <v>120</v>
      </c>
      <c r="G70" s="332">
        <v>18132.161155005411</v>
      </c>
      <c r="H70" s="325">
        <f t="shared" si="1"/>
        <v>57123.748441262724</v>
      </c>
      <c r="I70" s="1"/>
    </row>
    <row r="71" spans="1:9" ht="14.5" x14ac:dyDescent="0.35">
      <c r="A71" s="169">
        <v>62</v>
      </c>
      <c r="B71" s="169">
        <v>2080</v>
      </c>
      <c r="C71" s="325">
        <v>0</v>
      </c>
      <c r="D71" s="325">
        <f t="shared" si="2"/>
        <v>2134.5722706411289</v>
      </c>
      <c r="E71" s="89" t="s">
        <v>120</v>
      </c>
      <c r="F71" s="89" t="s">
        <v>120</v>
      </c>
      <c r="G71" s="332">
        <v>18083.244299991056</v>
      </c>
      <c r="H71" s="325">
        <f t="shared" si="1"/>
        <v>56975.39891275909</v>
      </c>
      <c r="I71" s="1"/>
    </row>
    <row r="72" spans="1:9" ht="14.5" x14ac:dyDescent="0.35">
      <c r="A72" s="169">
        <v>63</v>
      </c>
      <c r="B72" s="169">
        <v>2081</v>
      </c>
      <c r="C72" s="325">
        <v>0</v>
      </c>
      <c r="D72" s="325">
        <f t="shared" si="2"/>
        <v>2134.5722706411289</v>
      </c>
      <c r="E72" s="89" t="s">
        <v>120</v>
      </c>
      <c r="F72" s="89" t="s">
        <v>120</v>
      </c>
      <c r="G72" s="332">
        <v>18035.453104064465</v>
      </c>
      <c r="H72" s="325">
        <f t="shared" si="1"/>
        <v>56830.463156356622</v>
      </c>
      <c r="I72" s="1"/>
    </row>
    <row r="73" spans="1:9" ht="14.5" x14ac:dyDescent="0.35">
      <c r="A73" s="169">
        <v>64</v>
      </c>
      <c r="B73" s="169">
        <v>2082</v>
      </c>
      <c r="C73" s="325">
        <v>0</v>
      </c>
      <c r="D73" s="325">
        <f t="shared" si="2"/>
        <v>2134.5722706411289</v>
      </c>
      <c r="E73" s="89" t="s">
        <v>120</v>
      </c>
      <c r="F73" s="89" t="s">
        <v>120</v>
      </c>
      <c r="G73" s="332">
        <v>17988.657208744247</v>
      </c>
      <c r="H73" s="325">
        <f t="shared" si="1"/>
        <v>56688.54583553494</v>
      </c>
      <c r="I73" s="1"/>
    </row>
    <row r="74" spans="1:9" ht="14.5" x14ac:dyDescent="0.35">
      <c r="A74" s="169">
        <v>65</v>
      </c>
      <c r="B74" s="169">
        <v>2083</v>
      </c>
      <c r="C74" s="325">
        <v>0</v>
      </c>
      <c r="D74" s="325">
        <f t="shared" si="2"/>
        <v>2134.5722706411289</v>
      </c>
      <c r="E74" s="89" t="s">
        <v>120</v>
      </c>
      <c r="F74" s="89" t="s">
        <v>120</v>
      </c>
      <c r="G74" s="332">
        <v>17943.008084343379</v>
      </c>
      <c r="H74" s="325">
        <f t="shared" si="1"/>
        <v>56550.106312399497</v>
      </c>
      <c r="I74" s="1"/>
    </row>
    <row r="75" spans="1:9" ht="14.5" x14ac:dyDescent="0.35">
      <c r="A75" s="169">
        <v>66</v>
      </c>
      <c r="B75" s="169">
        <v>2084</v>
      </c>
      <c r="C75" s="325">
        <v>0</v>
      </c>
      <c r="D75" s="325">
        <f t="shared" si="2"/>
        <v>2134.5722706411289</v>
      </c>
      <c r="E75" s="89" t="s">
        <v>120</v>
      </c>
      <c r="F75" s="89" t="s">
        <v>120</v>
      </c>
      <c r="G75" s="332">
        <v>17898.393770365648</v>
      </c>
      <c r="H75" s="325">
        <f t="shared" si="1"/>
        <v>56414.805045767222</v>
      </c>
      <c r="I75" s="1"/>
    </row>
    <row r="76" spans="1:9" x14ac:dyDescent="0.3">
      <c r="A76" s="169">
        <v>67</v>
      </c>
      <c r="B76" s="169">
        <v>2085</v>
      </c>
      <c r="C76" s="325">
        <v>0</v>
      </c>
      <c r="D76" s="325">
        <f t="shared" si="2"/>
        <v>2134.5722706411289</v>
      </c>
      <c r="E76" s="89" t="s">
        <v>120</v>
      </c>
      <c r="F76" s="89" t="s">
        <v>120</v>
      </c>
      <c r="G76" s="332">
        <v>17854.694920151465</v>
      </c>
      <c r="H76" s="325">
        <f t="shared" si="1"/>
        <v>56282.280094530608</v>
      </c>
      <c r="I76" s="7"/>
    </row>
    <row r="77" spans="1:9" ht="14.5" x14ac:dyDescent="0.35">
      <c r="A77" s="169">
        <v>68</v>
      </c>
      <c r="B77" s="169">
        <v>2086</v>
      </c>
      <c r="C77" s="325">
        <v>0</v>
      </c>
      <c r="D77" s="325">
        <f t="shared" si="2"/>
        <v>2134.5722706411289</v>
      </c>
      <c r="E77" s="89" t="s">
        <v>120</v>
      </c>
      <c r="F77" s="89" t="s">
        <v>120</v>
      </c>
      <c r="G77" s="332">
        <v>17811.826452430723</v>
      </c>
      <c r="H77" s="325">
        <f t="shared" si="1"/>
        <v>56152.273433796203</v>
      </c>
      <c r="I77" s="1"/>
    </row>
    <row r="78" spans="1:9" ht="14.5" x14ac:dyDescent="0.35">
      <c r="A78" s="169">
        <v>69</v>
      </c>
      <c r="B78" s="169">
        <v>2087</v>
      </c>
      <c r="C78" s="325">
        <v>0</v>
      </c>
      <c r="D78" s="325">
        <f t="shared" si="2"/>
        <v>2134.5722706411289</v>
      </c>
      <c r="E78" s="89" t="s">
        <v>120</v>
      </c>
      <c r="F78" s="89" t="s">
        <v>120</v>
      </c>
      <c r="G78" s="332">
        <v>17769.979338812806</v>
      </c>
      <c r="H78" s="325">
        <f t="shared" si="1"/>
        <v>56025.364220752264</v>
      </c>
      <c r="I78" s="1"/>
    </row>
    <row r="79" spans="1:9" ht="14.5" x14ac:dyDescent="0.35">
      <c r="A79" s="169">
        <v>70</v>
      </c>
      <c r="B79" s="169">
        <v>2088</v>
      </c>
      <c r="C79" s="325">
        <v>0</v>
      </c>
      <c r="D79" s="325">
        <f t="shared" si="2"/>
        <v>2134.5722706411289</v>
      </c>
      <c r="E79" s="89" t="s">
        <v>120</v>
      </c>
      <c r="F79" s="89" t="s">
        <v>120</v>
      </c>
      <c r="G79" s="332">
        <v>17729.01672265802</v>
      </c>
      <c r="H79" s="325">
        <f t="shared" si="1"/>
        <v>55901.137411995747</v>
      </c>
      <c r="I79" s="1"/>
    </row>
    <row r="80" spans="1:9" x14ac:dyDescent="0.3">
      <c r="A80" s="169">
        <v>71</v>
      </c>
      <c r="B80" s="169">
        <v>2089</v>
      </c>
      <c r="C80" s="325">
        <v>0</v>
      </c>
      <c r="D80" s="325">
        <f t="shared" ref="D80:D109" si="3">$H$3*$H$4</f>
        <v>2134.5722706411289</v>
      </c>
      <c r="E80" s="89" t="s">
        <v>120</v>
      </c>
      <c r="F80" s="89" t="s">
        <v>120</v>
      </c>
      <c r="G80" s="332">
        <v>17688.945196051129</v>
      </c>
      <c r="H80" s="325">
        <f t="shared" si="1"/>
        <v>55779.612999258898</v>
      </c>
      <c r="I80" s="7"/>
    </row>
    <row r="81" spans="1:9" ht="14.5" x14ac:dyDescent="0.35">
      <c r="A81" s="169">
        <v>72</v>
      </c>
      <c r="B81" s="169">
        <v>2090</v>
      </c>
      <c r="C81" s="325">
        <v>0</v>
      </c>
      <c r="D81" s="325">
        <f t="shared" si="3"/>
        <v>2134.5722706411289</v>
      </c>
      <c r="E81" s="89" t="s">
        <v>120</v>
      </c>
      <c r="F81" s="89" t="s">
        <v>120</v>
      </c>
      <c r="G81" s="332">
        <v>17649.634736906726</v>
      </c>
      <c r="H81" s="325">
        <f t="shared" si="1"/>
        <v>55660.396666205139</v>
      </c>
      <c r="I81" s="1"/>
    </row>
    <row r="82" spans="1:9" ht="14.5" x14ac:dyDescent="0.35">
      <c r="A82" s="169">
        <v>73</v>
      </c>
      <c r="B82" s="169">
        <v>2091</v>
      </c>
      <c r="C82" s="325">
        <v>0</v>
      </c>
      <c r="D82" s="325">
        <f t="shared" si="3"/>
        <v>2134.5722706411289</v>
      </c>
      <c r="E82" s="89" t="s">
        <v>120</v>
      </c>
      <c r="F82" s="89" t="s">
        <v>120</v>
      </c>
      <c r="G82" s="332">
        <v>17611.274154781437</v>
      </c>
      <c r="H82" s="325">
        <f t="shared" ref="H82:H109" si="4">+(G82*$H$5)+D82+C82</f>
        <v>55544.061013192651</v>
      </c>
      <c r="I82" s="1"/>
    </row>
    <row r="83" spans="1:9" ht="14.5" x14ac:dyDescent="0.35">
      <c r="A83" s="169">
        <v>74</v>
      </c>
      <c r="B83" s="169">
        <v>2092</v>
      </c>
      <c r="C83" s="325">
        <v>0</v>
      </c>
      <c r="D83" s="325">
        <f t="shared" si="3"/>
        <v>2134.5722706411289</v>
      </c>
      <c r="E83" s="89" t="s">
        <v>120</v>
      </c>
      <c r="F83" s="89" t="s">
        <v>120</v>
      </c>
      <c r="G83" s="332">
        <v>17575.692239766591</v>
      </c>
      <c r="H83" s="325">
        <f t="shared" si="4"/>
        <v>55436.152188838343</v>
      </c>
      <c r="I83" s="1"/>
    </row>
    <row r="84" spans="1:9" ht="14.5" x14ac:dyDescent="0.35">
      <c r="A84" s="169">
        <v>75</v>
      </c>
      <c r="B84" s="169">
        <v>2093</v>
      </c>
      <c r="C84" s="325">
        <v>0</v>
      </c>
      <c r="D84" s="325">
        <f t="shared" si="3"/>
        <v>2134.5722706411289</v>
      </c>
      <c r="E84" s="89" t="s">
        <v>120</v>
      </c>
      <c r="F84" s="89" t="s">
        <v>120</v>
      </c>
      <c r="G84" s="332">
        <v>17540.874510024507</v>
      </c>
      <c r="H84" s="325">
        <f t="shared" si="4"/>
        <v>55330.56089951098</v>
      </c>
      <c r="I84" s="1"/>
    </row>
    <row r="85" spans="1:9" ht="14.5" x14ac:dyDescent="0.35">
      <c r="A85" s="169">
        <v>76</v>
      </c>
      <c r="B85" s="169">
        <v>2094</v>
      </c>
      <c r="C85" s="325">
        <v>0</v>
      </c>
      <c r="D85" s="325">
        <f t="shared" si="3"/>
        <v>2134.5722706411289</v>
      </c>
      <c r="E85" s="89" t="s">
        <v>120</v>
      </c>
      <c r="F85" s="89" t="s">
        <v>120</v>
      </c>
      <c r="G85" s="332">
        <v>17506.542989370915</v>
      </c>
      <c r="H85" s="325">
        <f t="shared" si="4"/>
        <v>55226.444130346674</v>
      </c>
      <c r="I85" s="1"/>
    </row>
    <row r="86" spans="1:9" ht="14.5" x14ac:dyDescent="0.35">
      <c r="A86" s="169">
        <v>77</v>
      </c>
      <c r="B86" s="169">
        <v>2095</v>
      </c>
      <c r="C86" s="325">
        <v>0</v>
      </c>
      <c r="D86" s="325">
        <f t="shared" si="3"/>
        <v>2134.5722706411289</v>
      </c>
      <c r="E86" s="89" t="s">
        <v>120</v>
      </c>
      <c r="F86" s="89" t="s">
        <v>120</v>
      </c>
      <c r="G86" s="332">
        <v>17472.854432227003</v>
      </c>
      <c r="H86" s="325">
        <f t="shared" si="4"/>
        <v>55124.277268499136</v>
      </c>
      <c r="I86" s="1"/>
    </row>
    <row r="87" spans="1:9" ht="14.5" x14ac:dyDescent="0.35">
      <c r="A87" s="169">
        <v>78</v>
      </c>
      <c r="B87" s="169">
        <v>2096</v>
      </c>
      <c r="C87" s="325">
        <v>0</v>
      </c>
      <c r="D87" s="325">
        <f t="shared" si="3"/>
        <v>2134.5722706411289</v>
      </c>
      <c r="E87" s="89" t="s">
        <v>120</v>
      </c>
      <c r="F87" s="89" t="s">
        <v>120</v>
      </c>
      <c r="G87" s="332">
        <v>17439.712681836838</v>
      </c>
      <c r="H87" s="325">
        <f t="shared" si="4"/>
        <v>55023.768700588887</v>
      </c>
      <c r="I87" s="1"/>
    </row>
    <row r="88" spans="1:9" ht="14.5" x14ac:dyDescent="0.35">
      <c r="A88" s="169">
        <v>79</v>
      </c>
      <c r="B88" s="169">
        <v>2097</v>
      </c>
      <c r="C88" s="325">
        <v>0</v>
      </c>
      <c r="D88" s="325">
        <f t="shared" si="3"/>
        <v>2134.5722706411289</v>
      </c>
      <c r="E88" s="89" t="s">
        <v>120</v>
      </c>
      <c r="F88" s="89" t="s">
        <v>120</v>
      </c>
      <c r="G88" s="332">
        <v>17407.073866916162</v>
      </c>
      <c r="H88" s="325">
        <f t="shared" si="4"/>
        <v>54924.785378726127</v>
      </c>
      <c r="I88" s="1"/>
    </row>
    <row r="89" spans="1:9" ht="14.5" x14ac:dyDescent="0.35">
      <c r="A89" s="169">
        <v>80</v>
      </c>
      <c r="B89" s="169">
        <v>2098</v>
      </c>
      <c r="C89" s="325">
        <v>0</v>
      </c>
      <c r="D89" s="325">
        <f t="shared" si="3"/>
        <v>2134.5722706411289</v>
      </c>
      <c r="E89" s="89" t="s">
        <v>120</v>
      </c>
      <c r="F89" s="89" t="s">
        <v>120</v>
      </c>
      <c r="G89" s="332">
        <v>17374.909644211446</v>
      </c>
      <c r="H89" s="325">
        <f t="shared" si="4"/>
        <v>54827.24134668379</v>
      </c>
      <c r="I89" s="1"/>
    </row>
    <row r="90" spans="1:9" ht="14.5" x14ac:dyDescent="0.35">
      <c r="A90" s="169">
        <v>81</v>
      </c>
      <c r="B90" s="169">
        <v>2099</v>
      </c>
      <c r="C90" s="325">
        <v>0</v>
      </c>
      <c r="D90" s="325">
        <f t="shared" si="3"/>
        <v>2134.5722706411289</v>
      </c>
      <c r="E90" s="89" t="s">
        <v>120</v>
      </c>
      <c r="F90" s="89" t="s">
        <v>120</v>
      </c>
      <c r="G90" s="332">
        <v>17343.074183894096</v>
      </c>
      <c r="H90" s="325">
        <f t="shared" si="4"/>
        <v>54730.694348182151</v>
      </c>
      <c r="I90" s="1"/>
    </row>
    <row r="91" spans="1:9" ht="14.5" x14ac:dyDescent="0.35">
      <c r="A91" s="169">
        <v>82</v>
      </c>
      <c r="B91" s="169">
        <v>2100</v>
      </c>
      <c r="C91" s="325">
        <v>0</v>
      </c>
      <c r="D91" s="325">
        <f t="shared" si="3"/>
        <v>2134.5722706411289</v>
      </c>
      <c r="E91" s="89" t="s">
        <v>120</v>
      </c>
      <c r="F91" s="89" t="s">
        <v>120</v>
      </c>
      <c r="G91" s="332">
        <v>17311.67679502258</v>
      </c>
      <c r="H91" s="325">
        <f t="shared" si="4"/>
        <v>54635.47588342255</v>
      </c>
      <c r="I91" s="1"/>
    </row>
    <row r="92" spans="1:9" ht="14.5" x14ac:dyDescent="0.35">
      <c r="A92" s="169">
        <v>83</v>
      </c>
      <c r="B92" s="169">
        <v>2101</v>
      </c>
      <c r="C92" s="325">
        <v>0</v>
      </c>
      <c r="D92" s="325">
        <f t="shared" si="3"/>
        <v>2134.5722706411289</v>
      </c>
      <c r="E92" s="89" t="s">
        <v>120</v>
      </c>
      <c r="F92" s="89" t="s">
        <v>120</v>
      </c>
      <c r="G92" s="332">
        <v>17280.800828392188</v>
      </c>
      <c r="H92" s="325">
        <f t="shared" si="4"/>
        <v>54541.83872930934</v>
      </c>
      <c r="I92" s="1"/>
    </row>
    <row r="93" spans="1:9" ht="14.5" x14ac:dyDescent="0.35">
      <c r="A93" s="169">
        <v>84</v>
      </c>
      <c r="B93" s="169">
        <v>2102</v>
      </c>
      <c r="C93" s="325">
        <v>0</v>
      </c>
      <c r="D93" s="325">
        <f t="shared" si="3"/>
        <v>2134.5722706411289</v>
      </c>
      <c r="E93" s="89" t="s">
        <v>120</v>
      </c>
      <c r="F93" s="89" t="s">
        <v>120</v>
      </c>
      <c r="G93" s="332">
        <v>17250.481696557294</v>
      </c>
      <c r="H93" s="325">
        <f t="shared" si="4"/>
        <v>54449.890281048996</v>
      </c>
      <c r="I93" s="1"/>
    </row>
    <row r="94" spans="1:9" ht="14.5" x14ac:dyDescent="0.35">
      <c r="A94" s="169">
        <v>85</v>
      </c>
      <c r="B94" s="169">
        <v>2103</v>
      </c>
      <c r="C94" s="325">
        <v>0</v>
      </c>
      <c r="D94" s="325">
        <f t="shared" si="3"/>
        <v>2134.5722706411289</v>
      </c>
      <c r="E94" s="89" t="s">
        <v>120</v>
      </c>
      <c r="F94" s="89" t="s">
        <v>120</v>
      </c>
      <c r="G94" s="332">
        <v>17220.439569103743</v>
      </c>
      <c r="H94" s="325">
        <f t="shared" si="4"/>
        <v>54358.781900478061</v>
      </c>
      <c r="I94" s="1"/>
    </row>
    <row r="95" spans="1:9" ht="14.5" x14ac:dyDescent="0.35">
      <c r="A95" s="169">
        <v>86</v>
      </c>
      <c r="B95" s="169">
        <v>2104</v>
      </c>
      <c r="C95" s="325">
        <v>0</v>
      </c>
      <c r="D95" s="325">
        <f t="shared" si="3"/>
        <v>2134.5722706411289</v>
      </c>
      <c r="E95" s="89" t="s">
        <v>120</v>
      </c>
      <c r="F95" s="89" t="s">
        <v>120</v>
      </c>
      <c r="G95" s="332">
        <v>17190.676871510856</v>
      </c>
      <c r="H95" s="325">
        <f t="shared" si="4"/>
        <v>54268.520943317068</v>
      </c>
      <c r="I95" s="1"/>
    </row>
    <row r="96" spans="1:9" ht="14.5" x14ac:dyDescent="0.35">
      <c r="A96" s="169">
        <v>87</v>
      </c>
      <c r="B96" s="169">
        <v>2105</v>
      </c>
      <c r="C96" s="325">
        <v>0</v>
      </c>
      <c r="D96" s="325">
        <f t="shared" si="3"/>
        <v>2134.5722706411289</v>
      </c>
      <c r="E96" s="89" t="s">
        <v>120</v>
      </c>
      <c r="F96" s="89" t="s">
        <v>120</v>
      </c>
      <c r="G96" s="332">
        <v>17161.493206106265</v>
      </c>
      <c r="H96" s="325">
        <f t="shared" si="4"/>
        <v>54180.016009761777</v>
      </c>
      <c r="I96" s="1"/>
    </row>
    <row r="97" spans="1:9" ht="14.5" x14ac:dyDescent="0.35">
      <c r="A97" s="169">
        <v>88</v>
      </c>
      <c r="B97" s="169">
        <v>2106</v>
      </c>
      <c r="C97" s="325">
        <v>0</v>
      </c>
      <c r="D97" s="325">
        <f t="shared" si="3"/>
        <v>2134.5722706411289</v>
      </c>
      <c r="E97" s="89" t="s">
        <v>120</v>
      </c>
      <c r="F97" s="89" t="s">
        <v>120</v>
      </c>
      <c r="G97" s="332">
        <v>17132.679466081903</v>
      </c>
      <c r="H97" s="325">
        <f t="shared" si="4"/>
        <v>54092.632944235884</v>
      </c>
      <c r="I97" s="1"/>
    </row>
    <row r="98" spans="1:9" ht="14.5" x14ac:dyDescent="0.35">
      <c r="A98" s="169">
        <v>89</v>
      </c>
      <c r="B98" s="169">
        <v>2107</v>
      </c>
      <c r="C98" s="325">
        <v>0</v>
      </c>
      <c r="D98" s="325">
        <f t="shared" si="3"/>
        <v>2134.5722706411289</v>
      </c>
      <c r="E98" s="89" t="s">
        <v>120</v>
      </c>
      <c r="F98" s="89" t="s">
        <v>120</v>
      </c>
      <c r="G98" s="332">
        <v>17104.295818991002</v>
      </c>
      <c r="H98" s="325">
        <f t="shared" si="4"/>
        <v>54006.554216118268</v>
      </c>
      <c r="I98" s="1"/>
    </row>
    <row r="99" spans="1:9" ht="14.5" x14ac:dyDescent="0.35">
      <c r="A99" s="169">
        <v>90</v>
      </c>
      <c r="B99" s="169">
        <v>2108</v>
      </c>
      <c r="C99" s="325">
        <v>0</v>
      </c>
      <c r="D99" s="325">
        <f t="shared" si="3"/>
        <v>2134.5722706411289</v>
      </c>
      <c r="E99" s="89" t="s">
        <v>120</v>
      </c>
      <c r="F99" s="89" t="s">
        <v>120</v>
      </c>
      <c r="G99" s="332">
        <v>17076.300689276486</v>
      </c>
      <c r="H99" s="325">
        <f t="shared" si="4"/>
        <v>53921.653739742018</v>
      </c>
      <c r="I99" s="1"/>
    </row>
    <row r="100" spans="1:9" ht="14.5" x14ac:dyDescent="0.35">
      <c r="A100" s="169">
        <v>91</v>
      </c>
      <c r="B100" s="169">
        <v>2109</v>
      </c>
      <c r="C100" s="325">
        <v>0</v>
      </c>
      <c r="D100" s="325">
        <f t="shared" si="3"/>
        <v>2134.5722706411289</v>
      </c>
      <c r="E100" s="89" t="s">
        <v>120</v>
      </c>
      <c r="F100" s="89" t="s">
        <v>120</v>
      </c>
      <c r="G100" s="332">
        <v>17048.709830920532</v>
      </c>
      <c r="H100" s="325">
        <f t="shared" si="4"/>
        <v>53837.979292009943</v>
      </c>
      <c r="I100" s="1"/>
    </row>
    <row r="101" spans="1:9" ht="14.5" x14ac:dyDescent="0.35">
      <c r="A101" s="169">
        <v>92</v>
      </c>
      <c r="B101" s="169">
        <v>2110</v>
      </c>
      <c r="C101" s="325">
        <v>0</v>
      </c>
      <c r="D101" s="325">
        <f t="shared" si="3"/>
        <v>2134.5722706411289</v>
      </c>
      <c r="E101" s="89" t="s">
        <v>120</v>
      </c>
      <c r="F101" s="89" t="s">
        <v>120</v>
      </c>
      <c r="G101" s="332">
        <v>17021.607221568938</v>
      </c>
      <c r="H101" s="325">
        <f t="shared" si="4"/>
        <v>53755.785550868008</v>
      </c>
      <c r="I101" s="1"/>
    </row>
    <row r="102" spans="1:9" ht="14.5" x14ac:dyDescent="0.35">
      <c r="A102" s="169">
        <v>93</v>
      </c>
      <c r="B102" s="169">
        <v>2111</v>
      </c>
      <c r="C102" s="325">
        <v>0</v>
      </c>
      <c r="D102" s="325">
        <f t="shared" si="3"/>
        <v>2134.5722706411289</v>
      </c>
      <c r="E102" s="89" t="s">
        <v>120</v>
      </c>
      <c r="F102" s="89" t="s">
        <v>120</v>
      </c>
      <c r="G102" s="332">
        <v>16994.92012511953</v>
      </c>
      <c r="H102" s="325">
        <f t="shared" si="4"/>
        <v>53674.851930457633</v>
      </c>
      <c r="I102" s="1"/>
    </row>
    <row r="103" spans="1:9" ht="14.5" x14ac:dyDescent="0.35">
      <c r="A103" s="169">
        <v>94</v>
      </c>
      <c r="B103" s="169">
        <v>2112</v>
      </c>
      <c r="C103" s="325">
        <v>0</v>
      </c>
      <c r="D103" s="325">
        <f>$H$3*$H$4</f>
        <v>2134.5722706411289</v>
      </c>
      <c r="E103" s="89" t="s">
        <v>120</v>
      </c>
      <c r="F103" s="89" t="s">
        <v>120</v>
      </c>
      <c r="G103" s="332">
        <v>16968.443691254161</v>
      </c>
      <c r="H103" s="325">
        <f t="shared" si="4"/>
        <v>53594.557183805737</v>
      </c>
      <c r="I103" s="1"/>
    </row>
    <row r="104" spans="1:9" ht="14.5" x14ac:dyDescent="0.35">
      <c r="A104" s="169">
        <v>95</v>
      </c>
      <c r="B104" s="169">
        <v>2113</v>
      </c>
      <c r="C104" s="325">
        <v>0</v>
      </c>
      <c r="D104" s="325">
        <f t="shared" si="3"/>
        <v>2134.5722706411289</v>
      </c>
      <c r="E104" s="89" t="s">
        <v>120</v>
      </c>
      <c r="F104" s="89" t="s">
        <v>120</v>
      </c>
      <c r="G104" s="332">
        <v>16942.470752204212</v>
      </c>
      <c r="H104" s="325">
        <f t="shared" si="4"/>
        <v>53515.78937952267</v>
      </c>
      <c r="I104" s="1"/>
    </row>
    <row r="105" spans="1:9" ht="14.5" x14ac:dyDescent="0.35">
      <c r="A105" s="169">
        <v>96</v>
      </c>
      <c r="B105" s="169">
        <v>2114</v>
      </c>
      <c r="C105" s="325">
        <v>0</v>
      </c>
      <c r="D105" s="325">
        <f t="shared" si="3"/>
        <v>2134.5722706411289</v>
      </c>
      <c r="E105" s="89" t="s">
        <v>120</v>
      </c>
      <c r="F105" s="89" t="s">
        <v>120</v>
      </c>
      <c r="G105" s="332">
        <v>16916.681736810544</v>
      </c>
      <c r="H105" s="325">
        <f t="shared" si="4"/>
        <v>53437.579358189512</v>
      </c>
      <c r="I105" s="1"/>
    </row>
    <row r="106" spans="1:9" ht="14.5" x14ac:dyDescent="0.35">
      <c r="A106" s="169">
        <v>97</v>
      </c>
      <c r="B106" s="169">
        <v>2115</v>
      </c>
      <c r="C106" s="325">
        <v>0</v>
      </c>
      <c r="D106" s="325">
        <f t="shared" si="3"/>
        <v>2134.5722706411289</v>
      </c>
      <c r="E106" s="89" t="s">
        <v>120</v>
      </c>
      <c r="F106" s="89" t="s">
        <v>120</v>
      </c>
      <c r="G106" s="332">
        <v>16891.272076793561</v>
      </c>
      <c r="H106" s="325">
        <f t="shared" si="4"/>
        <v>53360.519803116898</v>
      </c>
      <c r="I106" s="1"/>
    </row>
    <row r="107" spans="1:9" ht="14.5" x14ac:dyDescent="0.35">
      <c r="A107" s="169">
        <v>98</v>
      </c>
      <c r="B107" s="169">
        <v>2116</v>
      </c>
      <c r="C107" s="325">
        <v>0</v>
      </c>
      <c r="D107" s="325">
        <f t="shared" si="3"/>
        <v>2134.5722706411289</v>
      </c>
      <c r="E107" s="89" t="s">
        <v>120</v>
      </c>
      <c r="F107" s="89" t="s">
        <v>120</v>
      </c>
      <c r="G107" s="332">
        <v>16866.168627663079</v>
      </c>
      <c r="H107" s="325">
        <f t="shared" si="4"/>
        <v>53284.388889933107</v>
      </c>
      <c r="I107" s="1"/>
    </row>
    <row r="108" spans="1:9" ht="14.5" x14ac:dyDescent="0.35">
      <c r="A108" s="169">
        <v>99</v>
      </c>
      <c r="B108" s="169">
        <v>2117</v>
      </c>
      <c r="C108" s="325">
        <v>0</v>
      </c>
      <c r="D108" s="325">
        <f t="shared" si="3"/>
        <v>2134.5722706411289</v>
      </c>
      <c r="E108" s="89" t="s">
        <v>120</v>
      </c>
      <c r="F108" s="89" t="s">
        <v>120</v>
      </c>
      <c r="G108" s="332">
        <v>16841.389111185188</v>
      </c>
      <c r="H108" s="325">
        <f t="shared" si="4"/>
        <v>53209.240363214354</v>
      </c>
      <c r="I108" s="1"/>
    </row>
    <row r="109" spans="1:9" x14ac:dyDescent="0.3">
      <c r="A109" s="169">
        <v>100</v>
      </c>
      <c r="B109" s="169">
        <v>2118</v>
      </c>
      <c r="C109" s="325">
        <v>0</v>
      </c>
      <c r="D109" s="325">
        <f t="shared" si="3"/>
        <v>2134.5722706411289</v>
      </c>
      <c r="E109" s="89" t="s">
        <v>120</v>
      </c>
      <c r="F109" s="89" t="s">
        <v>120</v>
      </c>
      <c r="G109" s="332">
        <v>16817.017874287925</v>
      </c>
      <c r="H109" s="325">
        <f t="shared" si="4"/>
        <v>53135.330020824229</v>
      </c>
      <c r="I109" s="7"/>
    </row>
    <row r="110" spans="1:9" x14ac:dyDescent="0.3">
      <c r="A110" s="686" t="s">
        <v>55</v>
      </c>
      <c r="B110" s="686"/>
      <c r="C110" s="525">
        <f t="shared" ref="C110:H110" si="5">SUM(C10:C109)</f>
        <v>142304.81804274194</v>
      </c>
      <c r="D110" s="525">
        <f>SUM(D10:D109)</f>
        <v>183573.21527513734</v>
      </c>
      <c r="E110" s="525">
        <f t="shared" si="5"/>
        <v>0</v>
      </c>
      <c r="F110" s="525">
        <f t="shared" si="5"/>
        <v>0</v>
      </c>
      <c r="G110" s="526">
        <f t="shared" si="5"/>
        <v>1635108.3903903365</v>
      </c>
      <c r="H110" s="525">
        <f t="shared" si="5"/>
        <v>5284650.6014965493</v>
      </c>
      <c r="I110" s="7"/>
    </row>
    <row r="111" spans="1:9" x14ac:dyDescent="0.3">
      <c r="A111" s="7" t="s">
        <v>67</v>
      </c>
    </row>
    <row r="112" spans="1:9" ht="44.25" customHeight="1" x14ac:dyDescent="0.3">
      <c r="A112" s="713" t="s">
        <v>667</v>
      </c>
      <c r="B112" s="713"/>
      <c r="C112" s="713"/>
      <c r="D112" s="713"/>
      <c r="E112" s="713"/>
      <c r="F112" s="713"/>
      <c r="G112" s="713"/>
      <c r="H112" s="713"/>
    </row>
    <row r="113" spans="1:9" ht="30" customHeight="1" x14ac:dyDescent="0.3">
      <c r="A113" s="713" t="s">
        <v>669</v>
      </c>
      <c r="B113" s="713"/>
      <c r="C113" s="713"/>
      <c r="D113" s="713"/>
      <c r="E113" s="713"/>
      <c r="F113" s="713"/>
      <c r="G113" s="713"/>
      <c r="H113" s="713"/>
    </row>
    <row r="114" spans="1:9" ht="19.5" customHeight="1" x14ac:dyDescent="0.3">
      <c r="A114" s="6" t="s">
        <v>82</v>
      </c>
      <c r="F114" s="7"/>
      <c r="I114" s="7"/>
    </row>
    <row r="115" spans="1:9" x14ac:dyDescent="0.3">
      <c r="A115" s="7" t="s">
        <v>83</v>
      </c>
    </row>
    <row r="118" spans="1:9" x14ac:dyDescent="0.3">
      <c r="D118" s="548"/>
    </row>
    <row r="119" spans="1:9" hidden="1" x14ac:dyDescent="0.3">
      <c r="D119" s="537">
        <v>185746</v>
      </c>
    </row>
  </sheetData>
  <sheetProtection algorithmName="SHA-512" hashValue="Bt0DMa+L5pqFh3MUXs1uRG+768YWg2RWsaTuR+WdYzotm6MSVPYFuMEU9Qz7kR1jp9NEAH/bEs4xL3A/8NRwMQ==" saltValue="EqVBnSpnccO9rbREbCCSaA==" spinCount="100000" sheet="1" objects="1" scenarios="1"/>
  <mergeCells count="8">
    <mergeCell ref="G2:H2"/>
    <mergeCell ref="A110:B110"/>
    <mergeCell ref="A113:H113"/>
    <mergeCell ref="A4:B4"/>
    <mergeCell ref="A5:B5"/>
    <mergeCell ref="A6:B6"/>
    <mergeCell ref="A7:B7"/>
    <mergeCell ref="A112:H112"/>
  </mergeCells>
  <pageMargins left="0.7" right="0.7" top="0.75" bottom="0.75" header="0.6" footer="0.3"/>
  <pageSetup paperSize="17" scale="62" fitToHeight="0" orientation="portrait" horizontalDpi="1200" verticalDpi="1200" r:id="rId1"/>
  <headerFooter scaleWithDoc="0">
    <oddFooter>&amp;R&amp;"Arial,Regular"&amp;8&amp;P of 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K88"/>
  <sheetViews>
    <sheetView view="pageBreakPreview" topLeftCell="A43" zoomScaleNormal="90" zoomScaleSheetLayoutView="100" workbookViewId="0">
      <selection activeCell="G20" sqref="G20"/>
    </sheetView>
  </sheetViews>
  <sheetFormatPr defaultColWidth="9.26953125" defaultRowHeight="12.5" x14ac:dyDescent="0.25"/>
  <cols>
    <col min="1" max="1" width="33.54296875" style="91" customWidth="1"/>
    <col min="2" max="2" width="1.7265625" style="91" customWidth="1"/>
    <col min="3" max="3" width="21.54296875" style="91" customWidth="1"/>
    <col min="4" max="7" width="9.26953125" style="91"/>
    <col min="8" max="8" width="13.54296875" style="91" customWidth="1"/>
    <col min="9" max="9" width="16.36328125" style="91" customWidth="1"/>
    <col min="10" max="20" width="9.26953125" style="91" customWidth="1"/>
    <col min="21" max="16384" width="9.26953125" style="91"/>
  </cols>
  <sheetData>
    <row r="1" spans="1:9" x14ac:dyDescent="0.25">
      <c r="A1" s="617"/>
      <c r="B1" s="617"/>
      <c r="C1" s="617"/>
      <c r="D1" s="617"/>
      <c r="E1" s="617"/>
      <c r="F1" s="618"/>
      <c r="G1" s="452"/>
      <c r="H1" s="452"/>
      <c r="I1" s="452"/>
    </row>
    <row r="2" spans="1:9" ht="14.5" x14ac:dyDescent="0.35">
      <c r="A2" s="452"/>
      <c r="B2" s="452"/>
      <c r="C2" s="452"/>
      <c r="D2" s="270"/>
      <c r="E2" s="452"/>
      <c r="F2" s="93"/>
      <c r="G2" s="452"/>
      <c r="H2" s="452"/>
      <c r="I2" s="452"/>
    </row>
    <row r="3" spans="1:9" ht="22.5" customHeight="1" x14ac:dyDescent="0.25">
      <c r="A3" s="3"/>
      <c r="B3" s="3"/>
      <c r="C3" s="3"/>
      <c r="D3" s="452"/>
      <c r="E3" s="452"/>
      <c r="F3" s="452"/>
      <c r="G3" s="452"/>
      <c r="H3" s="452"/>
      <c r="I3" s="452"/>
    </row>
    <row r="4" spans="1:9" ht="13" x14ac:dyDescent="0.3">
      <c r="A4" s="451" t="s">
        <v>1</v>
      </c>
      <c r="B4" s="451"/>
      <c r="C4" s="118" t="str">
        <f>'2019 CCP Summary'!B4</f>
        <v>REV 0 July 29, 2019</v>
      </c>
      <c r="D4" s="4"/>
      <c r="E4" s="452"/>
      <c r="F4" s="452"/>
      <c r="G4" s="452"/>
      <c r="H4" s="452"/>
      <c r="I4" s="452"/>
    </row>
    <row r="5" spans="1:9" ht="13" x14ac:dyDescent="0.3">
      <c r="A5" s="453" t="s">
        <v>2</v>
      </c>
      <c r="B5" s="453"/>
      <c r="C5" s="461">
        <f>'2019 CCP Summary'!B5</f>
        <v>18106417</v>
      </c>
      <c r="D5" s="7"/>
      <c r="E5" s="452"/>
      <c r="F5" s="452"/>
      <c r="G5" s="452"/>
      <c r="H5" s="452"/>
      <c r="I5" s="452"/>
    </row>
    <row r="6" spans="1:9" ht="13" x14ac:dyDescent="0.3">
      <c r="A6" s="453" t="s">
        <v>3</v>
      </c>
      <c r="B6" s="453"/>
      <c r="C6" s="6" t="s">
        <v>142</v>
      </c>
      <c r="D6" s="8"/>
      <c r="E6" s="452"/>
      <c r="F6" s="452"/>
      <c r="G6" s="452"/>
      <c r="H6" s="452"/>
      <c r="I6" s="452"/>
    </row>
    <row r="7" spans="1:9" ht="13" x14ac:dyDescent="0.3">
      <c r="A7" s="454" t="s">
        <v>5</v>
      </c>
      <c r="B7" s="454"/>
      <c r="C7" s="460" t="str">
        <f>'2019 CCP Summary'!B7</f>
        <v>Tyrone Mine Closure Closeout Plan</v>
      </c>
      <c r="D7" s="8"/>
      <c r="E7" s="452"/>
      <c r="F7" s="452"/>
      <c r="G7" s="452"/>
      <c r="H7" s="452"/>
      <c r="I7" s="452"/>
    </row>
    <row r="8" spans="1:9" ht="13" x14ac:dyDescent="0.3">
      <c r="A8" s="124"/>
      <c r="B8" s="124"/>
      <c r="C8" s="124"/>
      <c r="D8" s="103"/>
      <c r="E8" s="103"/>
      <c r="F8" s="120"/>
      <c r="G8" s="125"/>
      <c r="H8" s="126"/>
      <c r="I8" s="121"/>
    </row>
    <row r="9" spans="1:9" ht="13" x14ac:dyDescent="0.3">
      <c r="A9" s="225" t="s">
        <v>143</v>
      </c>
      <c r="B9" s="455"/>
      <c r="C9" s="715" t="s">
        <v>144</v>
      </c>
      <c r="D9" s="716"/>
      <c r="E9" s="716"/>
      <c r="F9" s="226" t="s">
        <v>145</v>
      </c>
      <c r="G9" s="456" t="s">
        <v>146</v>
      </c>
      <c r="H9" s="227" t="s">
        <v>147</v>
      </c>
      <c r="I9" s="228" t="s">
        <v>148</v>
      </c>
    </row>
    <row r="10" spans="1:9" ht="13" x14ac:dyDescent="0.3">
      <c r="A10" s="717" t="s">
        <v>149</v>
      </c>
      <c r="B10" s="718"/>
      <c r="C10" s="718"/>
      <c r="D10" s="718"/>
      <c r="E10" s="718"/>
      <c r="F10" s="718"/>
      <c r="G10" s="718"/>
      <c r="H10" s="718"/>
      <c r="I10" s="719"/>
    </row>
    <row r="11" spans="1:9" ht="33.75" customHeight="1" x14ac:dyDescent="0.25">
      <c r="A11" s="322" t="str">
        <f>'TTS Equipment List Input'!A17</f>
        <v>Membrane System, UF and RO systems</v>
      </c>
      <c r="B11" s="127" t="s">
        <v>150</v>
      </c>
      <c r="C11" s="714" t="str">
        <f>'TTS Equipment List Input'!B17</f>
        <v>1,600 gpm, UF is 2 50% units and RO is 3 33% units for flexibility</v>
      </c>
      <c r="D11" s="714"/>
      <c r="E11" s="714"/>
      <c r="F11" s="128">
        <f>'TTS Equipment List Input'!E17</f>
        <v>1</v>
      </c>
      <c r="G11" s="128" t="s">
        <v>151</v>
      </c>
      <c r="H11" s="129">
        <f>'TTS Equipment List Input'!F17/'TTS Equipment List Input'!E17</f>
        <v>1345700</v>
      </c>
      <c r="I11" s="129">
        <f t="shared" ref="I11:I32" si="0">F11*H11</f>
        <v>1345700</v>
      </c>
    </row>
    <row r="12" spans="1:9" ht="44.25" customHeight="1" x14ac:dyDescent="0.25">
      <c r="A12" s="322" t="str">
        <f>'TTS Equipment List Input'!A18</f>
        <v>Reaction Tank</v>
      </c>
      <c r="B12" s="127" t="s">
        <v>150</v>
      </c>
      <c r="C12" s="714" t="str">
        <f>'TTS Equipment List Input'!B18</f>
        <v>Four 32,000 gallon tanks for flexibility, appx 120 min reaction time, baffles, ladder, platform, mixer mount and mixer</v>
      </c>
      <c r="D12" s="714"/>
      <c r="E12" s="714"/>
      <c r="F12" s="128">
        <f>'TTS Equipment List Input'!E18</f>
        <v>4</v>
      </c>
      <c r="G12" s="128" t="s">
        <v>151</v>
      </c>
      <c r="H12" s="129">
        <f>'TTS Equipment List Input'!F18/'TTS Equipment List Input'!E18</f>
        <v>129000</v>
      </c>
      <c r="I12" s="129">
        <f t="shared" si="0"/>
        <v>516000</v>
      </c>
    </row>
    <row r="13" spans="1:9" ht="14.5" x14ac:dyDescent="0.25">
      <c r="A13" s="322" t="str">
        <f>'TTS Equipment List Input'!A19</f>
        <v>Floc Tank</v>
      </c>
      <c r="B13" s="127" t="s">
        <v>150</v>
      </c>
      <c r="C13" s="714" t="str">
        <f>'TTS Equipment List Input'!B19</f>
        <v>7,000 gallon tank and mixer</v>
      </c>
      <c r="D13" s="714"/>
      <c r="E13" s="714"/>
      <c r="F13" s="128">
        <f>'TTS Equipment List Input'!E19</f>
        <v>1</v>
      </c>
      <c r="G13" s="128" t="s">
        <v>151</v>
      </c>
      <c r="H13" s="129">
        <f>'TTS Equipment List Input'!F19/'TTS Equipment List Input'!E19</f>
        <v>26000</v>
      </c>
      <c r="I13" s="129">
        <f t="shared" si="0"/>
        <v>26000</v>
      </c>
    </row>
    <row r="14" spans="1:9" ht="42" customHeight="1" x14ac:dyDescent="0.25">
      <c r="A14" s="322" t="str">
        <f>'TTS Equipment List Input'!A20</f>
        <v>Sludge Densification Tank</v>
      </c>
      <c r="B14" s="127" t="s">
        <v>150</v>
      </c>
      <c r="C14" s="714" t="str">
        <f>'TTS Equipment List Input'!B20</f>
        <v>2 tanks at 450 gal, with internal baffles, mixer mount and mixer, legs for gravity overflow to reaction tank</v>
      </c>
      <c r="D14" s="714"/>
      <c r="E14" s="714"/>
      <c r="F14" s="128">
        <f>'TTS Equipment List Input'!E20</f>
        <v>2</v>
      </c>
      <c r="G14" s="128" t="s">
        <v>151</v>
      </c>
      <c r="H14" s="129">
        <f>'TTS Equipment List Input'!F20/'TTS Equipment List Input'!E20</f>
        <v>88400</v>
      </c>
      <c r="I14" s="129">
        <f t="shared" si="0"/>
        <v>176800</v>
      </c>
    </row>
    <row r="15" spans="1:9" ht="28.5" customHeight="1" x14ac:dyDescent="0.25">
      <c r="A15" s="322" t="str">
        <f>'TTS Equipment List Input'!A21</f>
        <v xml:space="preserve">Thickener/Clarifier </v>
      </c>
      <c r="B15" s="127" t="s">
        <v>150</v>
      </c>
      <c r="C15" s="714" t="str">
        <f>'TTS Equipment List Input'!B21</f>
        <v>80' diameter, with feedwell, bridge, ladder, platform</v>
      </c>
      <c r="D15" s="714"/>
      <c r="E15" s="714"/>
      <c r="F15" s="128">
        <f>'TTS Equipment List Input'!E21</f>
        <v>1</v>
      </c>
      <c r="G15" s="128" t="s">
        <v>151</v>
      </c>
      <c r="H15" s="129">
        <f>'TTS Equipment List Input'!F21/'TTS Equipment List Input'!E21</f>
        <v>377200</v>
      </c>
      <c r="I15" s="129">
        <f t="shared" si="0"/>
        <v>377200</v>
      </c>
    </row>
    <row r="16" spans="1:9" ht="14.5" x14ac:dyDescent="0.25">
      <c r="A16" s="322" t="str">
        <f>'TTS Equipment List Input'!A22</f>
        <v xml:space="preserve">Sludge Pump </v>
      </c>
      <c r="B16" s="127" t="s">
        <v>150</v>
      </c>
      <c r="C16" s="714" t="str">
        <f>'TTS Equipment List Input'!B22</f>
        <v>29 gpm</v>
      </c>
      <c r="D16" s="714"/>
      <c r="E16" s="714"/>
      <c r="F16" s="128">
        <f>'TTS Equipment List Input'!E22</f>
        <v>2</v>
      </c>
      <c r="G16" s="128" t="s">
        <v>151</v>
      </c>
      <c r="H16" s="129">
        <f>'TTS Equipment List Input'!F22/'TTS Equipment List Input'!E22</f>
        <v>15000</v>
      </c>
      <c r="I16" s="129">
        <f t="shared" si="0"/>
        <v>30000</v>
      </c>
    </row>
    <row r="17" spans="1:9" ht="14.5" x14ac:dyDescent="0.25">
      <c r="A17" s="322" t="str">
        <f>'TTS Equipment List Input'!A23</f>
        <v>Underflow Pump</v>
      </c>
      <c r="B17" s="127" t="s">
        <v>150</v>
      </c>
      <c r="C17" s="714" t="str">
        <f>'TTS Equipment List Input'!B23</f>
        <v>3 Recycles 152 gpm</v>
      </c>
      <c r="D17" s="714"/>
      <c r="E17" s="714"/>
      <c r="F17" s="128">
        <f>'TTS Equipment List Input'!E23</f>
        <v>2</v>
      </c>
      <c r="G17" s="128" t="s">
        <v>151</v>
      </c>
      <c r="H17" s="129">
        <f>'TTS Equipment List Input'!F23/'TTS Equipment List Input'!E23</f>
        <v>20000</v>
      </c>
      <c r="I17" s="129">
        <f t="shared" si="0"/>
        <v>40000</v>
      </c>
    </row>
    <row r="18" spans="1:9" ht="14.5" x14ac:dyDescent="0.25">
      <c r="A18" s="322" t="str">
        <f>'TTS Equipment List Input'!A24</f>
        <v>Polymer system</v>
      </c>
      <c r="B18" s="127" t="s">
        <v>150</v>
      </c>
      <c r="C18" s="714" t="str">
        <f>'TTS Equipment List Input'!B24</f>
        <v>10 mg/L - 0.97 gph</v>
      </c>
      <c r="D18" s="714"/>
      <c r="E18" s="714"/>
      <c r="F18" s="128">
        <f>'TTS Equipment List Input'!E24</f>
        <v>1</v>
      </c>
      <c r="G18" s="128" t="s">
        <v>151</v>
      </c>
      <c r="H18" s="129">
        <f>'TTS Equipment List Input'!F24/'TTS Equipment List Input'!E24</f>
        <v>18525</v>
      </c>
      <c r="I18" s="129">
        <f t="shared" si="0"/>
        <v>18525</v>
      </c>
    </row>
    <row r="19" spans="1:9" ht="14.5" x14ac:dyDescent="0.25">
      <c r="A19" s="322" t="str">
        <f>'TTS Equipment List Input'!A25</f>
        <v>Lime Silo and Slaker System</v>
      </c>
      <c r="B19" s="127" t="s">
        <v>150</v>
      </c>
      <c r="C19" s="714" t="str">
        <f>'TTS Equipment List Input'!B25</f>
        <v>36,780  lb/day - 39 gpm, 10% slurry</v>
      </c>
      <c r="D19" s="714"/>
      <c r="E19" s="714"/>
      <c r="F19" s="128">
        <f>'TTS Equipment List Input'!E25</f>
        <v>1</v>
      </c>
      <c r="G19" s="128" t="s">
        <v>151</v>
      </c>
      <c r="H19" s="129">
        <f>'TTS Equipment List Input'!F25/'TTS Equipment List Input'!E25</f>
        <v>985000</v>
      </c>
      <c r="I19" s="129">
        <f t="shared" si="0"/>
        <v>985000</v>
      </c>
    </row>
    <row r="20" spans="1:9" ht="14.5" x14ac:dyDescent="0.25">
      <c r="A20" s="322" t="str">
        <f>'TTS Equipment List Input'!A26</f>
        <v>pH control system (acid addition)</v>
      </c>
      <c r="B20" s="127" t="s">
        <v>150</v>
      </c>
      <c r="C20" s="714" t="str">
        <f>'TTS Equipment List Input'!B26</f>
        <v>6.65 mg/L - 1.07 gph, 0.35 concentration</v>
      </c>
      <c r="D20" s="714"/>
      <c r="E20" s="714"/>
      <c r="F20" s="128">
        <f>'TTS Equipment List Input'!E26</f>
        <v>2</v>
      </c>
      <c r="G20" s="128" t="s">
        <v>151</v>
      </c>
      <c r="H20" s="129">
        <f>'TTS Equipment List Input'!F26/'TTS Equipment List Input'!E26</f>
        <v>7053</v>
      </c>
      <c r="I20" s="129">
        <f t="shared" si="0"/>
        <v>14106</v>
      </c>
    </row>
    <row r="21" spans="1:9" ht="14.5" x14ac:dyDescent="0.25">
      <c r="A21" s="322" t="str">
        <f>'TTS Equipment List Input'!A27</f>
        <v>Effluent Neutralization Tank</v>
      </c>
      <c r="B21" s="127" t="s">
        <v>150</v>
      </c>
      <c r="C21" s="714" t="str">
        <f>'TTS Equipment List Input'!B27</f>
        <v>32,000 gallon tank with mixer</v>
      </c>
      <c r="D21" s="714"/>
      <c r="E21" s="714"/>
      <c r="F21" s="128">
        <f>'TTS Equipment List Input'!E27</f>
        <v>1</v>
      </c>
      <c r="G21" s="128" t="s">
        <v>151</v>
      </c>
      <c r="H21" s="129">
        <f>'TTS Equipment List Input'!F27/'TTS Equipment List Input'!E27</f>
        <v>129000</v>
      </c>
      <c r="I21" s="129">
        <f t="shared" si="0"/>
        <v>129000</v>
      </c>
    </row>
    <row r="22" spans="1:9" ht="14.5" x14ac:dyDescent="0.25">
      <c r="A22" s="322" t="str">
        <f>'TTS Equipment List Input'!A28</f>
        <v>Sludge Holding Tank</v>
      </c>
      <c r="B22" s="127" t="s">
        <v>150</v>
      </c>
      <c r="C22" s="714" t="str">
        <f>'TTS Equipment List Input'!B28</f>
        <v>13,000 gal</v>
      </c>
      <c r="D22" s="714"/>
      <c r="E22" s="714"/>
      <c r="F22" s="128">
        <f>'TTS Equipment List Input'!E28</f>
        <v>1</v>
      </c>
      <c r="G22" s="128" t="s">
        <v>151</v>
      </c>
      <c r="H22" s="129">
        <f>'TTS Equipment List Input'!F28/'TTS Equipment List Input'!E28</f>
        <v>33000</v>
      </c>
      <c r="I22" s="129">
        <f t="shared" si="0"/>
        <v>33000</v>
      </c>
    </row>
    <row r="23" spans="1:9" ht="14.5" x14ac:dyDescent="0.25">
      <c r="A23" s="322" t="str">
        <f>'TTS Equipment List Input'!A29</f>
        <v>Filter Press System</v>
      </c>
      <c r="B23" s="127" t="s">
        <v>150</v>
      </c>
      <c r="C23" s="714" t="str">
        <f>'TTS Equipment List Input'!B29</f>
        <v>3 - 100 ft3 including platform and conveyor</v>
      </c>
      <c r="D23" s="714"/>
      <c r="E23" s="714"/>
      <c r="F23" s="128">
        <f>'TTS Equipment List Input'!E29</f>
        <v>3</v>
      </c>
      <c r="G23" s="128" t="s">
        <v>151</v>
      </c>
      <c r="H23" s="129">
        <f>'TTS Equipment List Input'!F29/'TTS Equipment List Input'!E29</f>
        <v>352667</v>
      </c>
      <c r="I23" s="129">
        <f t="shared" si="0"/>
        <v>1058001</v>
      </c>
    </row>
    <row r="24" spans="1:9" ht="14.5" x14ac:dyDescent="0.25">
      <c r="A24" s="322" t="str">
        <f>'TTS Equipment List Input'!A30</f>
        <v>Filtrate Tank</v>
      </c>
      <c r="B24" s="127" t="s">
        <v>150</v>
      </c>
      <c r="C24" s="714" t="str">
        <f>'TTS Equipment List Input'!B30</f>
        <v>3,000 gal</v>
      </c>
      <c r="D24" s="714"/>
      <c r="E24" s="714"/>
      <c r="F24" s="128">
        <f>'TTS Equipment List Input'!E30</f>
        <v>1</v>
      </c>
      <c r="G24" s="128" t="s">
        <v>151</v>
      </c>
      <c r="H24" s="129">
        <f>'TTS Equipment List Input'!F30/'TTS Equipment List Input'!E30</f>
        <v>10000</v>
      </c>
      <c r="I24" s="129">
        <f t="shared" si="0"/>
        <v>10000</v>
      </c>
    </row>
    <row r="25" spans="1:9" ht="14.5" x14ac:dyDescent="0.25">
      <c r="A25" s="322" t="str">
        <f>'TTS Equipment List Input'!A31</f>
        <v>Filtrate Pump</v>
      </c>
      <c r="B25" s="127" t="s">
        <v>150</v>
      </c>
      <c r="C25" s="714" t="str">
        <f>'TTS Equipment List Input'!B31</f>
        <v>9 gpm</v>
      </c>
      <c r="D25" s="714"/>
      <c r="E25" s="714"/>
      <c r="F25" s="128">
        <f>'TTS Equipment List Input'!E31</f>
        <v>2</v>
      </c>
      <c r="G25" s="128" t="s">
        <v>151</v>
      </c>
      <c r="H25" s="129">
        <f>'TTS Equipment List Input'!F31/'TTS Equipment List Input'!E31</f>
        <v>6700</v>
      </c>
      <c r="I25" s="129">
        <f t="shared" si="0"/>
        <v>13400</v>
      </c>
    </row>
    <row r="26" spans="1:9" ht="14.5" x14ac:dyDescent="0.25">
      <c r="A26" s="322" t="str">
        <f>'TTS Equipment List Input'!A32</f>
        <v>Process Water Tank</v>
      </c>
      <c r="B26" s="127" t="s">
        <v>150</v>
      </c>
      <c r="C26" s="714" t="str">
        <f>'TTS Equipment List Input'!B32</f>
        <v>3,000 gal</v>
      </c>
      <c r="D26" s="714"/>
      <c r="E26" s="714"/>
      <c r="F26" s="128">
        <f>'TTS Equipment List Input'!E32</f>
        <v>1</v>
      </c>
      <c r="G26" s="128" t="s">
        <v>151</v>
      </c>
      <c r="H26" s="129">
        <f>'TTS Equipment List Input'!F32/'TTS Equipment List Input'!E32</f>
        <v>10000</v>
      </c>
      <c r="I26" s="129">
        <f t="shared" si="0"/>
        <v>10000</v>
      </c>
    </row>
    <row r="27" spans="1:9" ht="14.5" x14ac:dyDescent="0.25">
      <c r="A27" s="322" t="str">
        <f>'TTS Equipment List Input'!A33</f>
        <v>Process Water Return Pump</v>
      </c>
      <c r="B27" s="127" t="s">
        <v>150</v>
      </c>
      <c r="C27" s="714" t="str">
        <f>'TTS Equipment List Input'!B33</f>
        <v>27.97 gpm</v>
      </c>
      <c r="D27" s="714"/>
      <c r="E27" s="714"/>
      <c r="F27" s="128">
        <f>'TTS Equipment List Input'!E33</f>
        <v>2</v>
      </c>
      <c r="G27" s="128" t="s">
        <v>151</v>
      </c>
      <c r="H27" s="129">
        <f>'TTS Equipment List Input'!F33/'TTS Equipment List Input'!E33</f>
        <v>5395.9493488047556</v>
      </c>
      <c r="I27" s="129">
        <f t="shared" si="0"/>
        <v>10791.898697609511</v>
      </c>
    </row>
    <row r="28" spans="1:9" ht="15.75" customHeight="1" x14ac:dyDescent="0.25">
      <c r="A28" s="322" t="str">
        <f>'TTS Equipment List Input'!A34</f>
        <v>Air Compressor</v>
      </c>
      <c r="B28" s="127" t="s">
        <v>152</v>
      </c>
      <c r="C28" s="714" t="str">
        <f>'TTS Equipment List Input'!B34</f>
        <v>For diaphragm pumps, includes air receiver</v>
      </c>
      <c r="D28" s="714"/>
      <c r="E28" s="714"/>
      <c r="F28" s="128">
        <f>'TTS Equipment List Input'!E34</f>
        <v>2</v>
      </c>
      <c r="G28" s="128" t="s">
        <v>151</v>
      </c>
      <c r="H28" s="129">
        <f>'TTS Equipment List Input'!F34/'TTS Equipment List Input'!E34</f>
        <v>15000</v>
      </c>
      <c r="I28" s="129">
        <f t="shared" si="0"/>
        <v>30000</v>
      </c>
    </row>
    <row r="29" spans="1:9" ht="14.5" x14ac:dyDescent="0.25">
      <c r="A29" s="322" t="str">
        <f>'TTS Equipment List Input'!A35</f>
        <v>Electrical Equipment</v>
      </c>
      <c r="B29" s="127" t="s">
        <v>152</v>
      </c>
      <c r="C29" s="714"/>
      <c r="D29" s="714"/>
      <c r="E29" s="714"/>
      <c r="F29" s="128">
        <f>'TTS Equipment List Input'!E35</f>
        <v>1</v>
      </c>
      <c r="G29" s="128" t="s">
        <v>153</v>
      </c>
      <c r="H29" s="129">
        <f>'TTS Equipment List Input'!F35/'TTS Equipment List Input'!E35</f>
        <v>100000</v>
      </c>
      <c r="I29" s="129">
        <f t="shared" si="0"/>
        <v>100000</v>
      </c>
    </row>
    <row r="30" spans="1:9" ht="14.5" x14ac:dyDescent="0.25">
      <c r="A30" s="322" t="str">
        <f>'TTS Equipment List Input'!A36</f>
        <v>Valves and Piping</v>
      </c>
      <c r="B30" s="127" t="s">
        <v>152</v>
      </c>
      <c r="C30" s="714"/>
      <c r="D30" s="714"/>
      <c r="E30" s="714"/>
      <c r="F30" s="128">
        <f>'TTS Equipment List Input'!E36</f>
        <v>1</v>
      </c>
      <c r="G30" s="128" t="s">
        <v>153</v>
      </c>
      <c r="H30" s="129">
        <f>'TTS Equipment List Input'!F36/'TTS Equipment List Input'!E36</f>
        <v>156000</v>
      </c>
      <c r="I30" s="129">
        <f t="shared" si="0"/>
        <v>156000</v>
      </c>
    </row>
    <row r="31" spans="1:9" ht="14.5" x14ac:dyDescent="0.25">
      <c r="A31" s="322" t="str">
        <f>'TTS Equipment List Input'!A37</f>
        <v>Instrumentation</v>
      </c>
      <c r="B31" s="127" t="s">
        <v>152</v>
      </c>
      <c r="C31" s="714"/>
      <c r="D31" s="714"/>
      <c r="E31" s="714"/>
      <c r="F31" s="128">
        <f>'TTS Equipment List Input'!E37</f>
        <v>1</v>
      </c>
      <c r="G31" s="128" t="s">
        <v>153</v>
      </c>
      <c r="H31" s="129">
        <f>'TTS Equipment List Input'!F37/'TTS Equipment List Input'!E37</f>
        <v>50000</v>
      </c>
      <c r="I31" s="129">
        <f t="shared" si="0"/>
        <v>50000</v>
      </c>
    </row>
    <row r="32" spans="1:9" ht="14.5" x14ac:dyDescent="0.25">
      <c r="A32" s="322" t="str">
        <f>'TTS Equipment List Input'!A38</f>
        <v>Control System</v>
      </c>
      <c r="B32" s="127" t="s">
        <v>152</v>
      </c>
      <c r="C32" s="714"/>
      <c r="D32" s="714"/>
      <c r="E32" s="714"/>
      <c r="F32" s="128">
        <f>'TTS Equipment List Input'!E38</f>
        <v>1</v>
      </c>
      <c r="G32" s="128" t="s">
        <v>153</v>
      </c>
      <c r="H32" s="129">
        <f>'TTS Equipment List Input'!F38/'TTS Equipment List Input'!E38</f>
        <v>50000</v>
      </c>
      <c r="I32" s="129">
        <f t="shared" si="0"/>
        <v>50000</v>
      </c>
    </row>
    <row r="33" spans="1:9" ht="14.5" x14ac:dyDescent="0.25">
      <c r="A33" s="322" t="s">
        <v>154</v>
      </c>
      <c r="B33" s="127" t="s">
        <v>152</v>
      </c>
      <c r="C33" s="724"/>
      <c r="D33" s="725"/>
      <c r="E33" s="726"/>
      <c r="F33" s="128">
        <v>1</v>
      </c>
      <c r="G33" s="128" t="s">
        <v>153</v>
      </c>
      <c r="H33" s="129">
        <v>100000</v>
      </c>
      <c r="I33" s="129">
        <f>F33*H33</f>
        <v>100000</v>
      </c>
    </row>
    <row r="34" spans="1:9" ht="13" x14ac:dyDescent="0.3">
      <c r="A34" s="723" t="s">
        <v>155</v>
      </c>
      <c r="B34" s="723"/>
      <c r="C34" s="723"/>
      <c r="D34" s="723"/>
      <c r="E34" s="723"/>
      <c r="F34" s="723"/>
      <c r="G34" s="723"/>
      <c r="H34" s="723"/>
      <c r="I34" s="229">
        <f>SUM(I11:I33)</f>
        <v>5279523.8986976091</v>
      </c>
    </row>
    <row r="35" spans="1:9" ht="13" x14ac:dyDescent="0.3">
      <c r="A35" s="698" t="s">
        <v>156</v>
      </c>
      <c r="B35" s="698"/>
      <c r="C35" s="698"/>
      <c r="D35" s="698"/>
      <c r="E35" s="698"/>
      <c r="F35" s="698"/>
      <c r="G35" s="698"/>
      <c r="H35" s="698"/>
      <c r="I35" s="698"/>
    </row>
    <row r="36" spans="1:9" x14ac:dyDescent="0.25">
      <c r="A36" s="130" t="s">
        <v>157</v>
      </c>
      <c r="B36" s="131"/>
      <c r="C36" s="130" t="s">
        <v>158</v>
      </c>
      <c r="D36" s="131"/>
      <c r="E36" s="132"/>
      <c r="F36" s="133">
        <v>1</v>
      </c>
      <c r="G36" s="134" t="s">
        <v>153</v>
      </c>
      <c r="H36" s="135">
        <v>50000</v>
      </c>
      <c r="I36" s="136">
        <f>+F36*H36</f>
        <v>50000</v>
      </c>
    </row>
    <row r="37" spans="1:9" ht="14.5" x14ac:dyDescent="0.25">
      <c r="A37" s="137"/>
      <c r="B37" s="138" t="s">
        <v>159</v>
      </c>
      <c r="C37" s="137" t="s">
        <v>160</v>
      </c>
      <c r="D37" s="417">
        <v>6</v>
      </c>
      <c r="E37" s="139" t="s">
        <v>161</v>
      </c>
      <c r="F37" s="140"/>
      <c r="G37" s="22"/>
      <c r="H37" s="141"/>
      <c r="I37" s="142"/>
    </row>
    <row r="38" spans="1:9" ht="14.5" x14ac:dyDescent="0.25">
      <c r="A38" s="137"/>
      <c r="B38" s="138" t="s">
        <v>159</v>
      </c>
      <c r="C38" s="137" t="s">
        <v>162</v>
      </c>
      <c r="D38" s="417">
        <v>35</v>
      </c>
      <c r="E38" s="139" t="s">
        <v>163</v>
      </c>
      <c r="F38" s="140"/>
      <c r="G38" s="22"/>
      <c r="H38" s="141"/>
      <c r="I38" s="142"/>
    </row>
    <row r="39" spans="1:9" x14ac:dyDescent="0.25">
      <c r="A39" s="143"/>
      <c r="B39" s="7"/>
      <c r="C39" s="143" t="s">
        <v>164</v>
      </c>
      <c r="D39" s="417"/>
      <c r="E39" s="139"/>
      <c r="F39" s="140">
        <f>+D37*D38*8</f>
        <v>1680</v>
      </c>
      <c r="G39" s="22" t="s">
        <v>165</v>
      </c>
      <c r="H39" s="144">
        <f>'TTS O&amp;M Input'!$C$31</f>
        <v>23.84</v>
      </c>
      <c r="I39" s="142">
        <f>+F39*H39</f>
        <v>40051.199999999997</v>
      </c>
    </row>
    <row r="40" spans="1:9" x14ac:dyDescent="0.25">
      <c r="A40" s="130" t="s">
        <v>166</v>
      </c>
      <c r="B40" s="131"/>
      <c r="C40" s="130" t="s">
        <v>158</v>
      </c>
      <c r="D40" s="418"/>
      <c r="E40" s="132"/>
      <c r="F40" s="133">
        <v>1</v>
      </c>
      <c r="G40" s="134" t="s">
        <v>153</v>
      </c>
      <c r="H40" s="135">
        <v>75000</v>
      </c>
      <c r="I40" s="136">
        <f>+F40*H40</f>
        <v>75000</v>
      </c>
    </row>
    <row r="41" spans="1:9" ht="14.5" x14ac:dyDescent="0.25">
      <c r="A41" s="137"/>
      <c r="B41" s="138" t="s">
        <v>159</v>
      </c>
      <c r="C41" s="137" t="s">
        <v>160</v>
      </c>
      <c r="D41" s="417">
        <v>8</v>
      </c>
      <c r="E41" s="139" t="s">
        <v>161</v>
      </c>
      <c r="F41" s="140"/>
      <c r="G41" s="22"/>
      <c r="H41" s="141"/>
      <c r="I41" s="142"/>
    </row>
    <row r="42" spans="1:9" ht="14.5" x14ac:dyDescent="0.25">
      <c r="A42" s="137"/>
      <c r="B42" s="138" t="s">
        <v>159</v>
      </c>
      <c r="C42" s="137" t="s">
        <v>162</v>
      </c>
      <c r="D42" s="417">
        <v>28</v>
      </c>
      <c r="E42" s="139" t="s">
        <v>163</v>
      </c>
      <c r="F42" s="140"/>
      <c r="G42" s="22"/>
      <c r="H42" s="141"/>
      <c r="I42" s="142"/>
    </row>
    <row r="43" spans="1:9" x14ac:dyDescent="0.25">
      <c r="A43" s="143"/>
      <c r="B43" s="145"/>
      <c r="C43" s="143" t="s">
        <v>167</v>
      </c>
      <c r="D43" s="419"/>
      <c r="E43" s="146"/>
      <c r="F43" s="147">
        <f>+D41*D42*8</f>
        <v>1792</v>
      </c>
      <c r="G43" s="148" t="s">
        <v>165</v>
      </c>
      <c r="H43" s="144">
        <f>'TTS O&amp;M Input'!$C$35</f>
        <v>48.660000000000004</v>
      </c>
      <c r="I43" s="149">
        <f>+F43*H43</f>
        <v>87198.720000000001</v>
      </c>
    </row>
    <row r="44" spans="1:9" x14ac:dyDescent="0.25">
      <c r="A44" s="137" t="s">
        <v>168</v>
      </c>
      <c r="B44" s="7"/>
      <c r="C44" s="137" t="s">
        <v>158</v>
      </c>
      <c r="D44" s="417"/>
      <c r="E44" s="139"/>
      <c r="F44" s="140">
        <v>1</v>
      </c>
      <c r="G44" s="22" t="s">
        <v>153</v>
      </c>
      <c r="H44" s="150">
        <v>30000</v>
      </c>
      <c r="I44" s="142">
        <f>+F44*H44</f>
        <v>30000</v>
      </c>
    </row>
    <row r="45" spans="1:9" ht="14.5" x14ac:dyDescent="0.25">
      <c r="A45" s="137"/>
      <c r="B45" s="138" t="s">
        <v>159</v>
      </c>
      <c r="C45" s="137" t="s">
        <v>160</v>
      </c>
      <c r="D45" s="417">
        <v>6</v>
      </c>
      <c r="E45" s="139" t="s">
        <v>161</v>
      </c>
      <c r="F45" s="140"/>
      <c r="G45" s="22"/>
      <c r="H45" s="141"/>
      <c r="I45" s="142"/>
    </row>
    <row r="46" spans="1:9" ht="14.5" x14ac:dyDescent="0.25">
      <c r="A46" s="137"/>
      <c r="B46" s="138" t="s">
        <v>159</v>
      </c>
      <c r="C46" s="137" t="s">
        <v>162</v>
      </c>
      <c r="D46" s="417">
        <v>32</v>
      </c>
      <c r="E46" s="139" t="s">
        <v>163</v>
      </c>
      <c r="F46" s="140"/>
      <c r="G46" s="22"/>
      <c r="H46" s="141"/>
      <c r="I46" s="142"/>
    </row>
    <row r="47" spans="1:9" x14ac:dyDescent="0.25">
      <c r="A47" s="137"/>
      <c r="B47" s="7"/>
      <c r="C47" s="143" t="s">
        <v>169</v>
      </c>
      <c r="D47" s="417"/>
      <c r="E47" s="139"/>
      <c r="F47" s="140">
        <f>+D45*D46*8</f>
        <v>1536</v>
      </c>
      <c r="G47" s="151" t="s">
        <v>165</v>
      </c>
      <c r="H47" s="144">
        <f>'TTS O&amp;M Input'!$C$32</f>
        <v>45.449999999999996</v>
      </c>
      <c r="I47" s="142">
        <f>+F47*H47</f>
        <v>69811.199999999997</v>
      </c>
    </row>
    <row r="48" spans="1:9" x14ac:dyDescent="0.25">
      <c r="A48" s="130" t="s">
        <v>170</v>
      </c>
      <c r="B48" s="131"/>
      <c r="C48" s="130" t="s">
        <v>158</v>
      </c>
      <c r="D48" s="418"/>
      <c r="E48" s="132"/>
      <c r="F48" s="133">
        <v>1</v>
      </c>
      <c r="G48" s="134" t="s">
        <v>153</v>
      </c>
      <c r="H48" s="135">
        <v>200000</v>
      </c>
      <c r="I48" s="136">
        <f>+F48*H48</f>
        <v>200000</v>
      </c>
    </row>
    <row r="49" spans="1:11" ht="14.5" x14ac:dyDescent="0.25">
      <c r="A49" s="137"/>
      <c r="B49" s="138" t="s">
        <v>159</v>
      </c>
      <c r="C49" s="137" t="s">
        <v>160</v>
      </c>
      <c r="D49" s="417">
        <v>4</v>
      </c>
      <c r="E49" s="139" t="s">
        <v>161</v>
      </c>
      <c r="F49" s="140"/>
      <c r="G49" s="22"/>
      <c r="H49" s="141"/>
      <c r="I49" s="142"/>
      <c r="J49" s="452"/>
      <c r="K49" s="452"/>
    </row>
    <row r="50" spans="1:11" ht="14.5" x14ac:dyDescent="0.25">
      <c r="A50" s="137"/>
      <c r="B50" s="138" t="s">
        <v>159</v>
      </c>
      <c r="C50" s="137" t="s">
        <v>162</v>
      </c>
      <c r="D50" s="417">
        <v>45</v>
      </c>
      <c r="E50" s="139" t="s">
        <v>163</v>
      </c>
      <c r="F50" s="140"/>
      <c r="G50" s="22"/>
      <c r="H50" s="141"/>
      <c r="I50" s="142"/>
      <c r="J50" s="452"/>
      <c r="K50" s="452" t="s">
        <v>0</v>
      </c>
    </row>
    <row r="51" spans="1:11" x14ac:dyDescent="0.25">
      <c r="A51" s="143"/>
      <c r="B51" s="145"/>
      <c r="C51" s="143" t="s">
        <v>171</v>
      </c>
      <c r="D51" s="419"/>
      <c r="E51" s="146"/>
      <c r="F51" s="147">
        <f>+D49*D50*8</f>
        <v>1440</v>
      </c>
      <c r="G51" s="151" t="s">
        <v>165</v>
      </c>
      <c r="H51" s="144">
        <f>'TTS O&amp;M Input'!$C$34</f>
        <v>54.054000000000002</v>
      </c>
      <c r="I51" s="149">
        <f>+F51*H51</f>
        <v>77837.760000000009</v>
      </c>
      <c r="J51" s="452"/>
      <c r="K51" s="452"/>
    </row>
    <row r="52" spans="1:11" x14ac:dyDescent="0.25">
      <c r="A52" s="137" t="s">
        <v>172</v>
      </c>
      <c r="B52" s="7"/>
      <c r="C52" s="137" t="s">
        <v>158</v>
      </c>
      <c r="D52" s="417"/>
      <c r="E52" s="139"/>
      <c r="F52" s="140">
        <v>1</v>
      </c>
      <c r="G52" s="22" t="s">
        <v>153</v>
      </c>
      <c r="H52" s="150">
        <v>5000</v>
      </c>
      <c r="I52" s="142">
        <f>+F52*H52</f>
        <v>5000</v>
      </c>
      <c r="J52" s="452"/>
      <c r="K52" s="452"/>
    </row>
    <row r="53" spans="1:11" ht="14.5" x14ac:dyDescent="0.25">
      <c r="A53" s="137"/>
      <c r="B53" s="138" t="s">
        <v>159</v>
      </c>
      <c r="C53" s="137" t="s">
        <v>160</v>
      </c>
      <c r="D53" s="417">
        <v>4</v>
      </c>
      <c r="E53" s="139" t="s">
        <v>161</v>
      </c>
      <c r="F53" s="140"/>
      <c r="G53" s="22"/>
      <c r="H53" s="141"/>
      <c r="I53" s="142"/>
      <c r="J53" s="452"/>
      <c r="K53" s="452"/>
    </row>
    <row r="54" spans="1:11" ht="14.5" x14ac:dyDescent="0.25">
      <c r="A54" s="137"/>
      <c r="B54" s="138" t="s">
        <v>159</v>
      </c>
      <c r="C54" s="137" t="s">
        <v>162</v>
      </c>
      <c r="D54" s="417">
        <v>20</v>
      </c>
      <c r="E54" s="139" t="s">
        <v>163</v>
      </c>
      <c r="F54" s="140"/>
      <c r="G54" s="22"/>
      <c r="H54" s="141"/>
      <c r="I54" s="142"/>
      <c r="J54" s="452"/>
      <c r="K54" s="452" t="s">
        <v>0</v>
      </c>
    </row>
    <row r="55" spans="1:11" x14ac:dyDescent="0.25">
      <c r="A55" s="143"/>
      <c r="B55" s="145"/>
      <c r="C55" s="143" t="s">
        <v>171</v>
      </c>
      <c r="D55" s="145"/>
      <c r="E55" s="146"/>
      <c r="F55" s="147">
        <f>+D53*D54*8</f>
        <v>640</v>
      </c>
      <c r="G55" s="151" t="s">
        <v>165</v>
      </c>
      <c r="H55" s="144">
        <f>'TTS O&amp;M Input'!$C$34</f>
        <v>54.054000000000002</v>
      </c>
      <c r="I55" s="149">
        <f>+F55*H55</f>
        <v>34594.559999999998</v>
      </c>
      <c r="J55" s="452"/>
      <c r="K55" s="452"/>
    </row>
    <row r="56" spans="1:11" ht="14.5" x14ac:dyDescent="0.25">
      <c r="A56" s="152" t="s">
        <v>173</v>
      </c>
      <c r="B56" s="138" t="s">
        <v>159</v>
      </c>
      <c r="C56" s="143" t="s">
        <v>174</v>
      </c>
      <c r="D56" s="7"/>
      <c r="E56" s="7" t="s">
        <v>0</v>
      </c>
      <c r="F56" s="140">
        <f>+(D45*D46)+(D71*D72)</f>
        <v>252</v>
      </c>
      <c r="G56" s="22" t="s">
        <v>163</v>
      </c>
      <c r="H56" s="144">
        <v>50</v>
      </c>
      <c r="I56" s="142">
        <f>+F56*H56</f>
        <v>12600</v>
      </c>
      <c r="J56" s="452"/>
      <c r="K56" s="452"/>
    </row>
    <row r="57" spans="1:11" ht="14.5" x14ac:dyDescent="0.25">
      <c r="A57" s="152" t="s">
        <v>175</v>
      </c>
      <c r="B57" s="153" t="s">
        <v>152</v>
      </c>
      <c r="C57" s="152"/>
      <c r="D57" s="154"/>
      <c r="E57" s="154"/>
      <c r="F57" s="18">
        <v>1</v>
      </c>
      <c r="G57" s="155" t="s">
        <v>153</v>
      </c>
      <c r="H57" s="156">
        <v>50000</v>
      </c>
      <c r="I57" s="157">
        <f>+F57*H57</f>
        <v>50000</v>
      </c>
      <c r="J57" s="452"/>
      <c r="K57" s="452"/>
    </row>
    <row r="58" spans="1:11" ht="13" x14ac:dyDescent="0.3">
      <c r="A58" s="721" t="s">
        <v>176</v>
      </c>
      <c r="B58" s="721"/>
      <c r="C58" s="721"/>
      <c r="D58" s="721"/>
      <c r="E58" s="721"/>
      <c r="F58" s="721"/>
      <c r="G58" s="721"/>
      <c r="H58" s="721"/>
      <c r="I58" s="230">
        <f>SUM(I36:I57)</f>
        <v>732093.44000000018</v>
      </c>
      <c r="J58" s="452"/>
      <c r="K58" s="452"/>
    </row>
    <row r="59" spans="1:11" ht="13" x14ac:dyDescent="0.3">
      <c r="A59" s="698" t="s">
        <v>177</v>
      </c>
      <c r="B59" s="698"/>
      <c r="C59" s="698"/>
      <c r="D59" s="698"/>
      <c r="E59" s="698"/>
      <c r="F59" s="698"/>
      <c r="G59" s="698"/>
      <c r="H59" s="698"/>
      <c r="I59" s="698"/>
      <c r="J59" s="452"/>
      <c r="K59" s="452"/>
    </row>
    <row r="60" spans="1:11" ht="13.5" customHeight="1" x14ac:dyDescent="0.25">
      <c r="A60" s="152" t="s">
        <v>178</v>
      </c>
      <c r="B60" s="160" t="s">
        <v>152</v>
      </c>
      <c r="C60" s="161" t="s">
        <v>179</v>
      </c>
      <c r="D60" s="336">
        <f>2*D61</f>
        <v>20800</v>
      </c>
      <c r="E60" s="154" t="s">
        <v>180</v>
      </c>
      <c r="F60" s="162">
        <f>D60/43560</f>
        <v>0.47750229568411384</v>
      </c>
      <c r="G60" s="155" t="s">
        <v>181</v>
      </c>
      <c r="H60" s="89">
        <v>100000</v>
      </c>
      <c r="I60" s="163">
        <f>F60*H60</f>
        <v>47750.229568411385</v>
      </c>
      <c r="J60" s="452"/>
      <c r="K60" s="452"/>
    </row>
    <row r="61" spans="1:11" ht="14.5" x14ac:dyDescent="0.25">
      <c r="A61" s="158" t="s">
        <v>182</v>
      </c>
      <c r="B61" s="164" t="s">
        <v>152</v>
      </c>
      <c r="C61" s="165" t="s">
        <v>183</v>
      </c>
      <c r="D61" s="337">
        <f>D69*1.1+70*70</f>
        <v>10400</v>
      </c>
      <c r="E61" s="7" t="s">
        <v>180</v>
      </c>
      <c r="F61" s="140"/>
      <c r="G61" s="22"/>
      <c r="H61" s="166"/>
      <c r="I61" s="167"/>
      <c r="J61" s="452"/>
      <c r="K61" s="452"/>
    </row>
    <row r="62" spans="1:11" hidden="1" x14ac:dyDescent="0.25">
      <c r="A62" s="158"/>
      <c r="B62" s="7"/>
      <c r="C62" s="165" t="s">
        <v>184</v>
      </c>
      <c r="D62" s="337">
        <v>1</v>
      </c>
      <c r="E62" s="7" t="s">
        <v>185</v>
      </c>
      <c r="F62" s="140"/>
      <c r="G62" s="22"/>
      <c r="H62" s="166"/>
      <c r="I62" s="167"/>
      <c r="J62" s="452"/>
      <c r="K62" s="452"/>
    </row>
    <row r="63" spans="1:11" hidden="1" x14ac:dyDescent="0.25">
      <c r="A63" s="158"/>
      <c r="B63" s="7"/>
      <c r="C63" s="165" t="s">
        <v>186</v>
      </c>
      <c r="D63" s="337">
        <v>1</v>
      </c>
      <c r="E63" s="7" t="s">
        <v>185</v>
      </c>
      <c r="F63" s="140"/>
      <c r="G63" s="22"/>
      <c r="H63" s="166"/>
      <c r="I63" s="167"/>
      <c r="J63" s="452"/>
      <c r="K63" s="452"/>
    </row>
    <row r="64" spans="1:11" hidden="1" x14ac:dyDescent="0.25">
      <c r="A64" s="158"/>
      <c r="B64" s="7"/>
      <c r="C64" s="165" t="s">
        <v>187</v>
      </c>
      <c r="D64" s="337">
        <v>3</v>
      </c>
      <c r="E64" s="7" t="s">
        <v>185</v>
      </c>
      <c r="F64" s="140"/>
      <c r="G64" s="22"/>
      <c r="H64" s="166"/>
      <c r="I64" s="167"/>
      <c r="J64" s="452"/>
      <c r="K64" s="452"/>
    </row>
    <row r="65" spans="1:11" hidden="1" x14ac:dyDescent="0.25">
      <c r="A65" s="158"/>
      <c r="B65" s="7"/>
      <c r="C65" s="165" t="s">
        <v>188</v>
      </c>
      <c r="D65" s="337">
        <v>3</v>
      </c>
      <c r="E65" s="7" t="s">
        <v>185</v>
      </c>
      <c r="F65" s="140"/>
      <c r="G65" s="22"/>
      <c r="H65" s="166"/>
      <c r="I65" s="167"/>
      <c r="J65" s="452"/>
      <c r="K65" s="452"/>
    </row>
    <row r="66" spans="1:11" hidden="1" x14ac:dyDescent="0.25">
      <c r="A66" s="158"/>
      <c r="B66" s="7"/>
      <c r="C66" s="165" t="s">
        <v>189</v>
      </c>
      <c r="D66" s="337">
        <v>1</v>
      </c>
      <c r="E66" s="7" t="s">
        <v>185</v>
      </c>
      <c r="F66" s="140"/>
      <c r="G66" s="22"/>
      <c r="H66" s="166"/>
      <c r="I66" s="167"/>
      <c r="J66" s="452"/>
      <c r="K66" s="452"/>
    </row>
    <row r="67" spans="1:11" hidden="1" x14ac:dyDescent="0.25">
      <c r="A67" s="158"/>
      <c r="B67" s="7"/>
      <c r="C67" s="165" t="s">
        <v>190</v>
      </c>
      <c r="D67" s="337">
        <v>10</v>
      </c>
      <c r="E67" s="7" t="s">
        <v>191</v>
      </c>
      <c r="F67" s="140"/>
      <c r="G67" s="22"/>
      <c r="H67" s="166"/>
      <c r="I67" s="167"/>
      <c r="J67" s="452"/>
      <c r="K67" s="452"/>
    </row>
    <row r="68" spans="1:11" x14ac:dyDescent="0.25">
      <c r="A68" s="158"/>
      <c r="B68" s="146"/>
      <c r="C68" s="165" t="s">
        <v>192</v>
      </c>
      <c r="D68" s="337"/>
      <c r="E68" s="7"/>
      <c r="F68" s="140">
        <f>+(((D61*D62)+(SQRT(D61)*4*D63*D64)+(SQRT(D61)*D65*D66))+((D61*D62)+(SQRT(D61)*4*D63*D64)+(SQRT(D61)*D65*D66))*D67/100)/27</f>
        <v>486.02505331428222</v>
      </c>
      <c r="G68" s="22" t="s">
        <v>193</v>
      </c>
      <c r="H68" s="168">
        <v>600</v>
      </c>
      <c r="I68" s="167">
        <f>F68*H68</f>
        <v>291615.0319885693</v>
      </c>
      <c r="J68" s="452"/>
      <c r="K68" s="452"/>
    </row>
    <row r="69" spans="1:11" ht="14.5" x14ac:dyDescent="0.25">
      <c r="A69" s="152" t="s">
        <v>194</v>
      </c>
      <c r="B69" s="160" t="s">
        <v>152</v>
      </c>
      <c r="C69" s="161" t="s">
        <v>195</v>
      </c>
      <c r="D69" s="446">
        <v>5000</v>
      </c>
      <c r="E69" s="154" t="s">
        <v>180</v>
      </c>
      <c r="F69" s="18">
        <v>5000</v>
      </c>
      <c r="G69" s="155" t="s">
        <v>180</v>
      </c>
      <c r="H69" s="89">
        <v>100</v>
      </c>
      <c r="I69" s="163">
        <f>F69*H69</f>
        <v>500000</v>
      </c>
      <c r="J69" s="452"/>
      <c r="K69" s="452"/>
    </row>
    <row r="70" spans="1:11" ht="14.5" x14ac:dyDescent="0.25">
      <c r="A70" s="158" t="s">
        <v>196</v>
      </c>
      <c r="B70" s="164" t="s">
        <v>152</v>
      </c>
      <c r="C70" s="165" t="s">
        <v>158</v>
      </c>
      <c r="D70" s="7"/>
      <c r="E70" s="7"/>
      <c r="F70" s="140">
        <v>1</v>
      </c>
      <c r="G70" s="22" t="s">
        <v>153</v>
      </c>
      <c r="H70" s="168">
        <v>40000</v>
      </c>
      <c r="I70" s="167">
        <f>F70*H70</f>
        <v>40000</v>
      </c>
      <c r="J70" s="452"/>
      <c r="K70" s="452"/>
    </row>
    <row r="71" spans="1:11" ht="14.5" x14ac:dyDescent="0.25">
      <c r="A71" s="420"/>
      <c r="B71" s="421" t="s">
        <v>159</v>
      </c>
      <c r="C71" s="422" t="s">
        <v>160</v>
      </c>
      <c r="D71" s="417">
        <v>4</v>
      </c>
      <c r="E71" s="417" t="s">
        <v>161</v>
      </c>
      <c r="F71" s="423"/>
      <c r="G71" s="424"/>
      <c r="H71" s="425"/>
      <c r="I71" s="426"/>
      <c r="J71" s="452"/>
      <c r="K71" s="452"/>
    </row>
    <row r="72" spans="1:11" ht="14.5" x14ac:dyDescent="0.25">
      <c r="A72" s="420"/>
      <c r="B72" s="421" t="s">
        <v>159</v>
      </c>
      <c r="C72" s="422" t="s">
        <v>162</v>
      </c>
      <c r="D72" s="417">
        <v>15</v>
      </c>
      <c r="E72" s="417" t="s">
        <v>163</v>
      </c>
      <c r="F72" s="423"/>
      <c r="G72" s="424"/>
      <c r="H72" s="425"/>
      <c r="I72" s="426"/>
      <c r="J72" s="452"/>
      <c r="K72" s="452"/>
    </row>
    <row r="73" spans="1:11" x14ac:dyDescent="0.25">
      <c r="A73" s="427" t="s">
        <v>197</v>
      </c>
      <c r="B73" s="428"/>
      <c r="C73" s="429" t="s">
        <v>198</v>
      </c>
      <c r="D73" s="417"/>
      <c r="E73" s="417"/>
      <c r="F73" s="430">
        <v>480</v>
      </c>
      <c r="G73" s="431" t="s">
        <v>165</v>
      </c>
      <c r="H73" s="432">
        <f>'TTS O&amp;M Input'!$C$33</f>
        <v>55.13</v>
      </c>
      <c r="I73" s="433">
        <f>F73*H73</f>
        <v>26462.400000000001</v>
      </c>
      <c r="J73" s="452"/>
      <c r="K73" s="452" t="s">
        <v>677</v>
      </c>
    </row>
    <row r="74" spans="1:11" ht="14.5" x14ac:dyDescent="0.25">
      <c r="A74" s="434" t="s">
        <v>199</v>
      </c>
      <c r="B74" s="435" t="s">
        <v>152</v>
      </c>
      <c r="C74" s="436"/>
      <c r="D74" s="436"/>
      <c r="E74" s="436"/>
      <c r="F74" s="437">
        <v>1</v>
      </c>
      <c r="G74" s="438" t="s">
        <v>153</v>
      </c>
      <c r="H74" s="439">
        <v>75000</v>
      </c>
      <c r="I74" s="440">
        <f>F74*H74</f>
        <v>75000</v>
      </c>
      <c r="J74" s="452"/>
      <c r="K74" s="452"/>
    </row>
    <row r="75" spans="1:11" ht="14.5" x14ac:dyDescent="0.25">
      <c r="A75" s="434" t="s">
        <v>200</v>
      </c>
      <c r="B75" s="435" t="s">
        <v>152</v>
      </c>
      <c r="C75" s="436"/>
      <c r="D75" s="436"/>
      <c r="E75" s="436"/>
      <c r="F75" s="437">
        <v>1</v>
      </c>
      <c r="G75" s="438" t="s">
        <v>153</v>
      </c>
      <c r="H75" s="439">
        <f>35000+35000+45000</f>
        <v>115000</v>
      </c>
      <c r="I75" s="440">
        <v>115000</v>
      </c>
      <c r="J75" s="452"/>
      <c r="K75" s="452"/>
    </row>
    <row r="76" spans="1:11" ht="14.5" x14ac:dyDescent="0.25">
      <c r="A76" s="434" t="s">
        <v>201</v>
      </c>
      <c r="B76" s="435" t="s">
        <v>202</v>
      </c>
      <c r="C76" s="436"/>
      <c r="D76" s="436"/>
      <c r="E76" s="436"/>
      <c r="F76" s="437">
        <v>1</v>
      </c>
      <c r="G76" s="438" t="s">
        <v>153</v>
      </c>
      <c r="H76" s="439">
        <v>25000</v>
      </c>
      <c r="I76" s="440">
        <f>F76*H76</f>
        <v>25000</v>
      </c>
      <c r="J76" s="452"/>
      <c r="K76" s="452"/>
    </row>
    <row r="77" spans="1:11" ht="14.5" x14ac:dyDescent="0.25">
      <c r="A77" s="434" t="s">
        <v>203</v>
      </c>
      <c r="B77" s="435" t="s">
        <v>152</v>
      </c>
      <c r="C77" s="436"/>
      <c r="D77" s="436"/>
      <c r="E77" s="436"/>
      <c r="F77" s="437">
        <v>1</v>
      </c>
      <c r="G77" s="438" t="s">
        <v>153</v>
      </c>
      <c r="H77" s="439">
        <v>100000</v>
      </c>
      <c r="I77" s="440">
        <f>F77*H77</f>
        <v>100000</v>
      </c>
      <c r="J77" s="452"/>
      <c r="K77" s="452"/>
    </row>
    <row r="78" spans="1:11" ht="13" x14ac:dyDescent="0.3">
      <c r="A78" s="721" t="s">
        <v>204</v>
      </c>
      <c r="B78" s="721"/>
      <c r="C78" s="721"/>
      <c r="D78" s="721"/>
      <c r="E78" s="721"/>
      <c r="F78" s="721"/>
      <c r="G78" s="721"/>
      <c r="H78" s="721"/>
      <c r="I78" s="230">
        <f>SUM(I60:I77)</f>
        <v>1220827.6615569806</v>
      </c>
      <c r="J78" s="452"/>
      <c r="K78" s="452"/>
    </row>
    <row r="79" spans="1:11" ht="13" x14ac:dyDescent="0.3">
      <c r="A79" s="698" t="s">
        <v>205</v>
      </c>
      <c r="B79" s="698"/>
      <c r="C79" s="698"/>
      <c r="D79" s="698"/>
      <c r="E79" s="698"/>
      <c r="F79" s="698"/>
      <c r="G79" s="698"/>
      <c r="H79" s="698"/>
      <c r="I79" s="698"/>
      <c r="J79" s="452"/>
      <c r="K79" s="452"/>
    </row>
    <row r="80" spans="1:11" ht="13" x14ac:dyDescent="0.3">
      <c r="A80" s="661" t="s">
        <v>206</v>
      </c>
      <c r="B80" s="662"/>
      <c r="C80" s="662"/>
      <c r="D80" s="662"/>
      <c r="E80" s="662"/>
      <c r="F80" s="662"/>
      <c r="G80" s="662"/>
      <c r="H80" s="663"/>
      <c r="I80" s="230">
        <f>I78+I58+I34</f>
        <v>7232445.0002545901</v>
      </c>
      <c r="J80" s="452"/>
      <c r="K80" s="452"/>
    </row>
    <row r="81" spans="1:9" hidden="1" x14ac:dyDescent="0.25">
      <c r="A81" s="152" t="s">
        <v>207</v>
      </c>
      <c r="B81" s="170"/>
      <c r="C81" s="161"/>
      <c r="D81" s="161"/>
      <c r="E81" s="161"/>
      <c r="F81" s="162">
        <v>22.5</v>
      </c>
      <c r="G81" s="169" t="s">
        <v>191</v>
      </c>
      <c r="H81" s="129">
        <f>I80</f>
        <v>7232445.0002545901</v>
      </c>
      <c r="I81" s="163">
        <f>H81*F81%</f>
        <v>1627300.1250572829</v>
      </c>
    </row>
    <row r="82" spans="1:9" ht="13" hidden="1" x14ac:dyDescent="0.3">
      <c r="A82" s="722" t="s">
        <v>205</v>
      </c>
      <c r="B82" s="722"/>
      <c r="C82" s="722"/>
      <c r="D82" s="722"/>
      <c r="E82" s="722"/>
      <c r="F82" s="722"/>
      <c r="G82" s="722"/>
      <c r="H82" s="722"/>
      <c r="I82" s="159">
        <f>SUM(I80:I81)</f>
        <v>8859745.1253118739</v>
      </c>
    </row>
    <row r="83" spans="1:9" ht="13" x14ac:dyDescent="0.3">
      <c r="A83" s="6" t="s">
        <v>67</v>
      </c>
      <c r="B83" s="453"/>
      <c r="C83" s="453"/>
      <c r="D83" s="453"/>
      <c r="E83" s="453"/>
      <c r="F83" s="453"/>
      <c r="G83" s="453"/>
      <c r="H83" s="453"/>
      <c r="I83" s="171"/>
    </row>
    <row r="84" spans="1:9" x14ac:dyDescent="0.25">
      <c r="A84" s="103" t="s">
        <v>208</v>
      </c>
      <c r="B84" s="103"/>
      <c r="C84" s="103"/>
      <c r="D84" s="103"/>
      <c r="E84" s="103"/>
      <c r="F84" s="120"/>
      <c r="G84" s="125"/>
      <c r="H84" s="172"/>
      <c r="I84" s="173"/>
    </row>
    <row r="85" spans="1:9" x14ac:dyDescent="0.25">
      <c r="A85" s="103" t="s">
        <v>209</v>
      </c>
      <c r="B85" s="103"/>
      <c r="C85" s="103"/>
      <c r="D85" s="103"/>
      <c r="E85" s="103"/>
      <c r="F85" s="120"/>
      <c r="G85" s="125"/>
      <c r="H85" s="172"/>
      <c r="I85" s="173"/>
    </row>
    <row r="86" spans="1:9" ht="36.75" customHeight="1" x14ac:dyDescent="0.25">
      <c r="A86" s="720" t="s">
        <v>210</v>
      </c>
      <c r="B86" s="720"/>
      <c r="C86" s="720"/>
      <c r="D86" s="720"/>
      <c r="E86" s="720"/>
      <c r="F86" s="720"/>
      <c r="G86" s="720"/>
      <c r="H86" s="720"/>
      <c r="I86" s="720"/>
    </row>
    <row r="87" spans="1:9" x14ac:dyDescent="0.25">
      <c r="A87" s="112" t="s">
        <v>211</v>
      </c>
      <c r="B87" s="452"/>
      <c r="C87" s="452"/>
      <c r="D87" s="452"/>
      <c r="E87" s="452"/>
      <c r="F87" s="452"/>
      <c r="G87" s="452"/>
      <c r="H87" s="452"/>
      <c r="I87" s="452"/>
    </row>
    <row r="88" spans="1:9" x14ac:dyDescent="0.25">
      <c r="A88" s="452" t="s">
        <v>83</v>
      </c>
      <c r="B88" s="452"/>
      <c r="C88" s="452"/>
      <c r="D88" s="452"/>
      <c r="E88" s="452"/>
      <c r="F88" s="452"/>
      <c r="G88" s="452"/>
      <c r="H88" s="452"/>
      <c r="I88" s="452"/>
    </row>
  </sheetData>
  <sheetProtection algorithmName="SHA-512" hashValue="eAcBJUqvJAsSnw1pcbshMWkXNEbUmcBTYBFKW0SqK2kSDM+SJ5GdQfIWWDRxrtnpeB7BXAId454TJlrqmRh1kQ==" saltValue="7hLSuw8uixtcBxpH8m6Tdg==" spinCount="100000" sheet="1" objects="1" scenarios="1"/>
  <mergeCells count="34">
    <mergeCell ref="A86:I86"/>
    <mergeCell ref="C18:E18"/>
    <mergeCell ref="C19:E19"/>
    <mergeCell ref="C20:E20"/>
    <mergeCell ref="C21:E21"/>
    <mergeCell ref="A78:H78"/>
    <mergeCell ref="A79:I79"/>
    <mergeCell ref="A82:H82"/>
    <mergeCell ref="C31:E31"/>
    <mergeCell ref="C32:E32"/>
    <mergeCell ref="A34:H34"/>
    <mergeCell ref="A35:I35"/>
    <mergeCell ref="A58:H58"/>
    <mergeCell ref="A59:I59"/>
    <mergeCell ref="C33:E33"/>
    <mergeCell ref="A80:H80"/>
    <mergeCell ref="C9:E9"/>
    <mergeCell ref="A10:I10"/>
    <mergeCell ref="C11:E11"/>
    <mergeCell ref="C12:E12"/>
    <mergeCell ref="C13:E13"/>
    <mergeCell ref="C14:E14"/>
    <mergeCell ref="C15:E15"/>
    <mergeCell ref="C16:E16"/>
    <mergeCell ref="C17:E17"/>
    <mergeCell ref="C30:E30"/>
    <mergeCell ref="C22:E22"/>
    <mergeCell ref="C23:E23"/>
    <mergeCell ref="C24:E24"/>
    <mergeCell ref="C25:E25"/>
    <mergeCell ref="C26:E26"/>
    <mergeCell ref="C27:E27"/>
    <mergeCell ref="C28:E28"/>
    <mergeCell ref="C29:E29"/>
  </mergeCells>
  <pageMargins left="0.7" right="0.7" top="0.75" bottom="0.75" header="0.6" footer="0.3"/>
  <pageSetup paperSize="17" scale="55"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4:Q43"/>
  <sheetViews>
    <sheetView view="pageBreakPreview" zoomScale="60" zoomScaleNormal="70" workbookViewId="0">
      <selection activeCell="O51" sqref="O51:O52"/>
    </sheetView>
  </sheetViews>
  <sheetFormatPr defaultRowHeight="14.5" x14ac:dyDescent="0.35"/>
  <cols>
    <col min="1" max="1" width="33.54296875" customWidth="1"/>
    <col min="2" max="2" width="47.26953125" customWidth="1"/>
    <col min="6" max="6" width="14.54296875" customWidth="1"/>
    <col min="7" max="7" width="50" customWidth="1"/>
    <col min="8" max="9" width="0" hidden="1" customWidth="1"/>
    <col min="10" max="10" width="12.54296875" hidden="1" customWidth="1"/>
    <col min="11" max="12" width="0" hidden="1" customWidth="1"/>
    <col min="13" max="13" width="12" hidden="1" customWidth="1"/>
    <col min="14" max="14" width="0" hidden="1" customWidth="1"/>
    <col min="15" max="15" width="12.36328125" customWidth="1"/>
    <col min="16" max="16" width="38.7265625" customWidth="1"/>
  </cols>
  <sheetData>
    <row r="4" spans="1:17" x14ac:dyDescent="0.35">
      <c r="A4" s="451" t="s">
        <v>1</v>
      </c>
      <c r="B4" s="118" t="str">
        <f>'2019 CCP Summary'!B4</f>
        <v>REV 0 July 29, 2019</v>
      </c>
    </row>
    <row r="5" spans="1:17" x14ac:dyDescent="0.35">
      <c r="A5" s="453" t="s">
        <v>2</v>
      </c>
      <c r="B5" s="461">
        <f>'2019 CCP Summary'!B5</f>
        <v>18106417</v>
      </c>
    </row>
    <row r="6" spans="1:17" x14ac:dyDescent="0.35">
      <c r="A6" s="453" t="s">
        <v>3</v>
      </c>
      <c r="B6" s="6" t="s">
        <v>212</v>
      </c>
    </row>
    <row r="7" spans="1:17" x14ac:dyDescent="0.35">
      <c r="A7" s="454" t="s">
        <v>5</v>
      </c>
      <c r="B7" s="460" t="str">
        <f>'2019 CCP Summary'!B7</f>
        <v>Tyrone Mine Closure Closeout Plan</v>
      </c>
    </row>
    <row r="9" spans="1:17" x14ac:dyDescent="0.35">
      <c r="A9" s="79" t="s">
        <v>0</v>
      </c>
      <c r="B9" s="80"/>
      <c r="C9" s="81"/>
      <c r="D9" s="82"/>
      <c r="E9" s="83"/>
      <c r="F9" s="84"/>
      <c r="G9" s="85"/>
      <c r="H9" s="85"/>
      <c r="I9" s="85"/>
      <c r="J9" s="85"/>
      <c r="K9" s="85"/>
      <c r="L9" s="85"/>
      <c r="M9" s="86">
        <v>43525</v>
      </c>
      <c r="N9" s="85">
        <v>2019</v>
      </c>
      <c r="O9" s="85"/>
      <c r="P9" s="85"/>
      <c r="Q9" s="85"/>
    </row>
    <row r="10" spans="1:17" x14ac:dyDescent="0.35">
      <c r="A10" s="727"/>
      <c r="B10" s="727"/>
      <c r="C10" s="727"/>
      <c r="D10" s="727"/>
      <c r="E10" s="727"/>
      <c r="F10" s="727"/>
      <c r="G10" s="85"/>
      <c r="H10" s="85"/>
      <c r="I10" s="85"/>
      <c r="J10" s="85"/>
      <c r="K10" s="85"/>
      <c r="L10" s="85"/>
      <c r="M10" s="87" t="s">
        <v>213</v>
      </c>
      <c r="N10" s="340">
        <v>2.4299999999999999E-2</v>
      </c>
      <c r="O10" s="85"/>
      <c r="P10" s="85"/>
      <c r="Q10" s="85"/>
    </row>
    <row r="11" spans="1:17" ht="26.5" x14ac:dyDescent="0.35">
      <c r="A11" s="575" t="s">
        <v>214</v>
      </c>
      <c r="B11" s="575" t="s">
        <v>144</v>
      </c>
      <c r="C11" s="575" t="s">
        <v>215</v>
      </c>
      <c r="D11" s="575" t="s">
        <v>216</v>
      </c>
      <c r="E11" s="575" t="s">
        <v>217</v>
      </c>
      <c r="F11" s="339" t="s">
        <v>12</v>
      </c>
      <c r="G11" s="575" t="s">
        <v>218</v>
      </c>
      <c r="H11" s="575" t="s">
        <v>219</v>
      </c>
      <c r="I11" s="575" t="s">
        <v>220</v>
      </c>
      <c r="J11" s="575" t="s">
        <v>221</v>
      </c>
      <c r="K11" s="575" t="s">
        <v>222</v>
      </c>
      <c r="L11" s="575" t="s">
        <v>223</v>
      </c>
      <c r="M11" s="575" t="s">
        <v>224</v>
      </c>
      <c r="N11" s="575" t="s">
        <v>225</v>
      </c>
      <c r="O11" s="575" t="s">
        <v>689</v>
      </c>
      <c r="P11" s="575" t="s">
        <v>226</v>
      </c>
      <c r="Q11" s="85"/>
    </row>
    <row r="12" spans="1:17" ht="26" hidden="1" x14ac:dyDescent="0.35">
      <c r="A12" s="236" t="s">
        <v>227</v>
      </c>
      <c r="B12" s="236" t="s">
        <v>228</v>
      </c>
      <c r="C12" s="237">
        <f>27*8</f>
        <v>216</v>
      </c>
      <c r="D12" s="237"/>
      <c r="E12" s="238">
        <v>8</v>
      </c>
      <c r="F12" s="239">
        <v>0</v>
      </c>
      <c r="G12" s="256" t="s">
        <v>229</v>
      </c>
      <c r="H12" s="257">
        <v>2012</v>
      </c>
      <c r="I12" s="258">
        <v>45</v>
      </c>
      <c r="J12" s="259">
        <f>31400+1250</f>
        <v>32650</v>
      </c>
      <c r="K12" s="258">
        <v>45</v>
      </c>
      <c r="L12" s="257" t="s">
        <v>230</v>
      </c>
      <c r="M12" s="260">
        <f>J12*(K12/I12)^0.7</f>
        <v>32650</v>
      </c>
      <c r="N12" s="257">
        <f>$N$9-H12</f>
        <v>7</v>
      </c>
      <c r="O12" s="260">
        <f>M12*(1.03^N12)</f>
        <v>40155.381706122003</v>
      </c>
      <c r="P12" s="260"/>
      <c r="Q12" s="85"/>
    </row>
    <row r="13" spans="1:17" ht="25" hidden="1" x14ac:dyDescent="0.35">
      <c r="A13" s="236" t="s">
        <v>231</v>
      </c>
      <c r="B13" s="236"/>
      <c r="C13" s="237">
        <v>2</v>
      </c>
      <c r="D13" s="237"/>
      <c r="E13" s="238">
        <v>1</v>
      </c>
      <c r="F13" s="239">
        <v>0</v>
      </c>
      <c r="G13" s="256" t="s">
        <v>232</v>
      </c>
      <c r="H13" s="257">
        <v>2012</v>
      </c>
      <c r="I13" s="258">
        <v>45</v>
      </c>
      <c r="J13" s="259">
        <v>27500</v>
      </c>
      <c r="K13" s="258">
        <v>45</v>
      </c>
      <c r="L13" s="257" t="s">
        <v>230</v>
      </c>
      <c r="M13" s="260">
        <f>J13*(K13/I13)^0.7</f>
        <v>27500</v>
      </c>
      <c r="N13" s="257">
        <f>$N$9-H13</f>
        <v>7</v>
      </c>
      <c r="O13" s="260">
        <f>M13*(1.03^N13)</f>
        <v>33821.531299183924</v>
      </c>
      <c r="P13" s="260"/>
      <c r="Q13" s="85"/>
    </row>
    <row r="14" spans="1:17" hidden="1" x14ac:dyDescent="0.35">
      <c r="A14" s="236" t="s">
        <v>233</v>
      </c>
      <c r="B14" s="236"/>
      <c r="C14" s="237"/>
      <c r="D14" s="237"/>
      <c r="E14" s="238">
        <v>1</v>
      </c>
      <c r="F14" s="239">
        <f>O14*E14</f>
        <v>0</v>
      </c>
      <c r="G14" s="256" t="s">
        <v>234</v>
      </c>
      <c r="H14" s="257">
        <v>2007</v>
      </c>
      <c r="I14" s="258">
        <v>4013117</v>
      </c>
      <c r="J14" s="259">
        <v>1524000</v>
      </c>
      <c r="K14" s="258">
        <f>'TTS Calculation Summary'!W115</f>
        <v>0</v>
      </c>
      <c r="L14" s="257" t="s">
        <v>235</v>
      </c>
      <c r="M14" s="260">
        <f>J14*(K14/I14)^0.7</f>
        <v>0</v>
      </c>
      <c r="N14" s="257">
        <f>$N$9-H14</f>
        <v>12</v>
      </c>
      <c r="O14" s="260">
        <f>M14*(1.03^N14)</f>
        <v>0</v>
      </c>
      <c r="P14" s="260"/>
      <c r="Q14" s="85"/>
    </row>
    <row r="15" spans="1:17" hidden="1" x14ac:dyDescent="0.35">
      <c r="A15" s="236" t="s">
        <v>236</v>
      </c>
      <c r="B15" s="236"/>
      <c r="C15" s="237"/>
      <c r="D15" s="237"/>
      <c r="E15" s="238">
        <v>1</v>
      </c>
      <c r="F15" s="239">
        <f>O15*E15</f>
        <v>846707.49333478732</v>
      </c>
      <c r="G15" s="256" t="s">
        <v>234</v>
      </c>
      <c r="H15" s="257">
        <v>2007</v>
      </c>
      <c r="I15" s="258">
        <f>1250+5141</f>
        <v>6391</v>
      </c>
      <c r="J15" s="259">
        <v>1388217</v>
      </c>
      <c r="K15" s="258">
        <v>1900</v>
      </c>
      <c r="L15" s="257" t="s">
        <v>230</v>
      </c>
      <c r="M15" s="260">
        <f t="shared" ref="M15:M19" si="0">J15*(K15/I15)^0.7</f>
        <v>593863.60023364576</v>
      </c>
      <c r="N15" s="257">
        <f>$N$9-H15</f>
        <v>12</v>
      </c>
      <c r="O15" s="260">
        <f>M15*(1.03^N15)</f>
        <v>846707.49333478732</v>
      </c>
      <c r="P15" s="260"/>
      <c r="Q15" s="85"/>
    </row>
    <row r="16" spans="1:17" x14ac:dyDescent="0.35">
      <c r="A16" s="619"/>
      <c r="B16" s="620"/>
      <c r="C16" s="620"/>
      <c r="D16" s="620"/>
      <c r="E16" s="620"/>
      <c r="F16" s="620"/>
      <c r="G16" s="620"/>
      <c r="H16" s="620"/>
      <c r="I16" s="620"/>
      <c r="J16" s="620"/>
      <c r="K16" s="620"/>
      <c r="L16" s="620"/>
      <c r="M16" s="620"/>
      <c r="N16" s="620"/>
      <c r="O16" s="620"/>
      <c r="P16" s="621"/>
      <c r="Q16" s="85"/>
    </row>
    <row r="17" spans="1:17" ht="25" x14ac:dyDescent="0.35">
      <c r="A17" s="240" t="s">
        <v>237</v>
      </c>
      <c r="B17" s="240" t="s">
        <v>238</v>
      </c>
      <c r="C17" s="241">
        <f>50*5</f>
        <v>250</v>
      </c>
      <c r="D17" s="241">
        <f>2*(5*20)+3*(26*6)+6*6+10*8</f>
        <v>784</v>
      </c>
      <c r="E17" s="242">
        <v>1</v>
      </c>
      <c r="F17" s="243">
        <f>O17*E17</f>
        <v>1345700</v>
      </c>
      <c r="G17" s="285" t="s">
        <v>239</v>
      </c>
      <c r="H17" s="286">
        <v>2019</v>
      </c>
      <c r="I17" s="287">
        <v>1600</v>
      </c>
      <c r="J17" s="288">
        <v>1345700</v>
      </c>
      <c r="K17" s="287">
        <v>1600</v>
      </c>
      <c r="L17" s="286" t="s">
        <v>230</v>
      </c>
      <c r="M17" s="289">
        <f t="shared" si="0"/>
        <v>1345700</v>
      </c>
      <c r="N17" s="286">
        <f t="shared" ref="N17:N33" si="1">$N$9-H17</f>
        <v>0</v>
      </c>
      <c r="O17" s="289">
        <f t="shared" ref="O17:O28" si="2">M17*(1.03^N17)</f>
        <v>1345700</v>
      </c>
      <c r="P17" s="289"/>
      <c r="Q17" s="85"/>
    </row>
    <row r="18" spans="1:17" ht="37.5" x14ac:dyDescent="0.35">
      <c r="A18" s="244" t="s">
        <v>240</v>
      </c>
      <c r="B18" s="240" t="s">
        <v>241</v>
      </c>
      <c r="C18" s="245" t="s">
        <v>280</v>
      </c>
      <c r="D18" s="246">
        <f>PI()*(('TTS Design Calcs'!C49/2)^2)*4</f>
        <v>1256.6370614359173</v>
      </c>
      <c r="E18" s="242">
        <v>4</v>
      </c>
      <c r="F18" s="243">
        <f>O18*E18</f>
        <v>516000</v>
      </c>
      <c r="G18" s="285" t="s">
        <v>242</v>
      </c>
      <c r="H18" s="286">
        <v>2019</v>
      </c>
      <c r="I18" s="287">
        <f>32000</f>
        <v>32000</v>
      </c>
      <c r="J18" s="288">
        <v>129000</v>
      </c>
      <c r="K18" s="287">
        <f>I18</f>
        <v>32000</v>
      </c>
      <c r="L18" s="286" t="s">
        <v>243</v>
      </c>
      <c r="M18" s="289">
        <f t="shared" si="0"/>
        <v>129000</v>
      </c>
      <c r="N18" s="286">
        <f t="shared" si="1"/>
        <v>0</v>
      </c>
      <c r="O18" s="289">
        <f t="shared" si="2"/>
        <v>129000</v>
      </c>
      <c r="P18" s="290" t="s">
        <v>690</v>
      </c>
      <c r="Q18" s="85"/>
    </row>
    <row r="19" spans="1:17" x14ac:dyDescent="0.35">
      <c r="A19" s="244" t="s">
        <v>244</v>
      </c>
      <c r="B19" s="240" t="s">
        <v>245</v>
      </c>
      <c r="C19" s="245">
        <v>2</v>
      </c>
      <c r="D19" s="246">
        <f>PI()*(('TTS Design Calcs'!C72/2)^2)</f>
        <v>78.539816339744831</v>
      </c>
      <c r="E19" s="242">
        <v>1</v>
      </c>
      <c r="F19" s="243">
        <f>O19*E19</f>
        <v>26000</v>
      </c>
      <c r="G19" s="285" t="s">
        <v>246</v>
      </c>
      <c r="H19" s="286">
        <v>2019</v>
      </c>
      <c r="I19" s="287">
        <v>7000</v>
      </c>
      <c r="J19" s="288">
        <f>9000+17000</f>
        <v>26000</v>
      </c>
      <c r="K19" s="287">
        <f>'TTS Design Calcs'!C62</f>
        <v>7000</v>
      </c>
      <c r="L19" s="286" t="s">
        <v>243</v>
      </c>
      <c r="M19" s="289">
        <f t="shared" si="0"/>
        <v>26000</v>
      </c>
      <c r="N19" s="286">
        <f t="shared" si="1"/>
        <v>0</v>
      </c>
      <c r="O19" s="289">
        <f t="shared" si="2"/>
        <v>26000</v>
      </c>
      <c r="P19" s="289"/>
      <c r="Q19" s="85"/>
    </row>
    <row r="20" spans="1:17" ht="25" x14ac:dyDescent="0.35">
      <c r="A20" s="247" t="s">
        <v>247</v>
      </c>
      <c r="B20" s="248" t="s">
        <v>248</v>
      </c>
      <c r="C20" s="249">
        <v>1</v>
      </c>
      <c r="D20" s="250">
        <f>PI()*(('TTS Design Calcs'!C260/2)^2)*2</f>
        <v>56.548667764616276</v>
      </c>
      <c r="E20" s="251">
        <v>2</v>
      </c>
      <c r="F20" s="252">
        <f>O20*E20</f>
        <v>176800</v>
      </c>
      <c r="G20" s="285" t="s">
        <v>242</v>
      </c>
      <c r="H20" s="286">
        <v>2019</v>
      </c>
      <c r="I20" s="287">
        <v>450</v>
      </c>
      <c r="J20" s="288">
        <v>88400</v>
      </c>
      <c r="K20" s="287">
        <f>'TTS Design Calcs'!C250/2</f>
        <v>450</v>
      </c>
      <c r="L20" s="286" t="s">
        <v>243</v>
      </c>
      <c r="M20" s="289">
        <f>J20*(K20/I20)^0.7</f>
        <v>88400</v>
      </c>
      <c r="N20" s="286">
        <f t="shared" si="1"/>
        <v>0</v>
      </c>
      <c r="O20" s="289">
        <f>M20*(1.03^N20)</f>
        <v>88400</v>
      </c>
      <c r="P20" s="289"/>
      <c r="Q20" s="88"/>
    </row>
    <row r="21" spans="1:17" x14ac:dyDescent="0.35">
      <c r="A21" s="244" t="s">
        <v>249</v>
      </c>
      <c r="B21" s="240" t="s">
        <v>250</v>
      </c>
      <c r="C21" s="245">
        <v>2</v>
      </c>
      <c r="D21" s="246">
        <f>PI()*(('TTS Design Calcs'!C85/2)^2)</f>
        <v>5541.7694409323949</v>
      </c>
      <c r="E21" s="242">
        <v>1</v>
      </c>
      <c r="F21" s="243">
        <f t="shared" ref="F21:F27" si="3">O21*E21</f>
        <v>377200</v>
      </c>
      <c r="G21" s="285" t="s">
        <v>251</v>
      </c>
      <c r="H21" s="286">
        <v>2019</v>
      </c>
      <c r="I21" s="287">
        <v>80</v>
      </c>
      <c r="J21" s="288">
        <v>377200</v>
      </c>
      <c r="K21" s="287">
        <v>80</v>
      </c>
      <c r="L21" s="286" t="s">
        <v>185</v>
      </c>
      <c r="M21" s="289">
        <f t="shared" ref="M21:M33" si="4">J21*(K21/I21)^0.7</f>
        <v>377200</v>
      </c>
      <c r="N21" s="286">
        <f t="shared" si="1"/>
        <v>0</v>
      </c>
      <c r="O21" s="289">
        <f t="shared" si="2"/>
        <v>377200</v>
      </c>
      <c r="P21" s="289"/>
      <c r="Q21" s="85"/>
    </row>
    <row r="22" spans="1:17" x14ac:dyDescent="0.35">
      <c r="A22" s="240" t="s">
        <v>252</v>
      </c>
      <c r="B22" s="240" t="str">
        <f>'TTS Design Calcs'!C93&amp;" "&amp;'TTS Design Calcs'!D93</f>
        <v>29 gpm</v>
      </c>
      <c r="C22" s="245">
        <v>1.5</v>
      </c>
      <c r="D22" s="241">
        <f>4*4</f>
        <v>16</v>
      </c>
      <c r="E22" s="242">
        <v>2</v>
      </c>
      <c r="F22" s="243">
        <f t="shared" si="3"/>
        <v>30000</v>
      </c>
      <c r="G22" s="285" t="s">
        <v>253</v>
      </c>
      <c r="H22" s="286">
        <v>2019</v>
      </c>
      <c r="I22" s="287">
        <v>29</v>
      </c>
      <c r="J22" s="288">
        <v>15000</v>
      </c>
      <c r="K22" s="287">
        <f>'TTS Design Calcs'!C93</f>
        <v>29</v>
      </c>
      <c r="L22" s="286" t="s">
        <v>230</v>
      </c>
      <c r="M22" s="289">
        <f t="shared" si="4"/>
        <v>15000</v>
      </c>
      <c r="N22" s="286">
        <f t="shared" si="1"/>
        <v>0</v>
      </c>
      <c r="O22" s="289">
        <f t="shared" si="2"/>
        <v>15000</v>
      </c>
      <c r="P22" s="289"/>
      <c r="Q22" s="85"/>
    </row>
    <row r="23" spans="1:17" x14ac:dyDescent="0.35">
      <c r="A23" s="240" t="s">
        <v>254</v>
      </c>
      <c r="B23" s="240" t="str">
        <f>'TTS Design Calcs'!C96&amp;" "&amp;'TTS Design Calcs'!D96&amp;" "&amp;'TTS Design Calcs'!C98&amp;" gpm"</f>
        <v>3 Recycles 152 gpm</v>
      </c>
      <c r="C23" s="245">
        <v>3</v>
      </c>
      <c r="D23" s="241">
        <f>4*4</f>
        <v>16</v>
      </c>
      <c r="E23" s="242">
        <v>2</v>
      </c>
      <c r="F23" s="243">
        <f t="shared" si="3"/>
        <v>40000</v>
      </c>
      <c r="G23" s="285" t="s">
        <v>253</v>
      </c>
      <c r="H23" s="286">
        <v>2019</v>
      </c>
      <c r="I23" s="287">
        <v>152</v>
      </c>
      <c r="J23" s="288">
        <v>20000</v>
      </c>
      <c r="K23" s="287">
        <f>'TTS Design Calcs'!C98</f>
        <v>152</v>
      </c>
      <c r="L23" s="286" t="s">
        <v>230</v>
      </c>
      <c r="M23" s="289">
        <f t="shared" si="4"/>
        <v>20000</v>
      </c>
      <c r="N23" s="286">
        <f t="shared" si="1"/>
        <v>0</v>
      </c>
      <c r="O23" s="289">
        <f t="shared" si="2"/>
        <v>20000</v>
      </c>
      <c r="P23" s="289"/>
      <c r="Q23" s="85"/>
    </row>
    <row r="24" spans="1:17" x14ac:dyDescent="0.35">
      <c r="A24" s="240" t="s">
        <v>255</v>
      </c>
      <c r="B24" s="240" t="str">
        <f>'TTS Design Calcs'!C263&amp;" mg/L - "&amp;'TTS Design Calcs'!C273&amp;" "&amp;'TTS Design Calcs'!D273</f>
        <v>10 mg/L - 0.97 gph</v>
      </c>
      <c r="C24" s="245">
        <v>0.3</v>
      </c>
      <c r="D24" s="241">
        <f>4*4</f>
        <v>16</v>
      </c>
      <c r="E24" s="242">
        <v>1</v>
      </c>
      <c r="F24" s="243">
        <f t="shared" si="3"/>
        <v>18525</v>
      </c>
      <c r="G24" s="285" t="s">
        <v>256</v>
      </c>
      <c r="H24" s="286">
        <v>2019</v>
      </c>
      <c r="I24" s="287">
        <v>1</v>
      </c>
      <c r="J24" s="288">
        <v>18525</v>
      </c>
      <c r="K24" s="287">
        <v>1</v>
      </c>
      <c r="L24" s="286" t="s">
        <v>230</v>
      </c>
      <c r="M24" s="289">
        <f t="shared" si="4"/>
        <v>18525</v>
      </c>
      <c r="N24" s="286">
        <f t="shared" si="1"/>
        <v>0</v>
      </c>
      <c r="O24" s="289">
        <f t="shared" si="2"/>
        <v>18525</v>
      </c>
      <c r="P24" s="289"/>
      <c r="Q24" s="85"/>
    </row>
    <row r="25" spans="1:17" x14ac:dyDescent="0.35">
      <c r="A25" s="240" t="s">
        <v>257</v>
      </c>
      <c r="B25" s="240" t="s">
        <v>258</v>
      </c>
      <c r="C25" s="245">
        <v>10</v>
      </c>
      <c r="D25" s="246">
        <f>PI()*((12/2)^2)</f>
        <v>113.09733552923255</v>
      </c>
      <c r="E25" s="242">
        <v>1</v>
      </c>
      <c r="F25" s="243">
        <f t="shared" si="3"/>
        <v>985000</v>
      </c>
      <c r="G25" s="285" t="s">
        <v>259</v>
      </c>
      <c r="H25" s="286">
        <v>2019</v>
      </c>
      <c r="I25" s="287">
        <v>39</v>
      </c>
      <c r="J25" s="288">
        <v>985000</v>
      </c>
      <c r="K25" s="287">
        <v>39</v>
      </c>
      <c r="L25" s="286" t="s">
        <v>230</v>
      </c>
      <c r="M25" s="289">
        <f t="shared" si="4"/>
        <v>985000</v>
      </c>
      <c r="N25" s="286">
        <f t="shared" si="1"/>
        <v>0</v>
      </c>
      <c r="O25" s="289">
        <f t="shared" si="2"/>
        <v>985000</v>
      </c>
      <c r="P25" s="289"/>
      <c r="Q25" s="85"/>
    </row>
    <row r="26" spans="1:17" x14ac:dyDescent="0.35">
      <c r="A26" s="240" t="s">
        <v>260</v>
      </c>
      <c r="B26" s="240" t="str">
        <f>'TTS Design Calcs'!C288&amp;" "&amp;'TTS Design Calcs'!D288&amp;" - "&amp;'TTS Design Calcs'!C296&amp;" "&amp;'TTS Design Calcs'!D296&amp;", "&amp;'TTS Design Calcs'!O295&amp;" concentration"</f>
        <v>6.65 mg/L - 1.07 gph, 0.35 concentration</v>
      </c>
      <c r="C26" s="245">
        <v>0.3</v>
      </c>
      <c r="D26" s="241">
        <f>4*3</f>
        <v>12</v>
      </c>
      <c r="E26" s="242">
        <v>2</v>
      </c>
      <c r="F26" s="243">
        <f t="shared" si="3"/>
        <v>14106</v>
      </c>
      <c r="G26" s="285" t="s">
        <v>261</v>
      </c>
      <c r="H26" s="286">
        <v>2019</v>
      </c>
      <c r="I26" s="287">
        <v>1</v>
      </c>
      <c r="J26" s="288">
        <v>7053</v>
      </c>
      <c r="K26" s="287">
        <v>1</v>
      </c>
      <c r="L26" s="286" t="s">
        <v>262</v>
      </c>
      <c r="M26" s="289">
        <f t="shared" si="4"/>
        <v>7053</v>
      </c>
      <c r="N26" s="286">
        <f t="shared" si="1"/>
        <v>0</v>
      </c>
      <c r="O26" s="289">
        <f t="shared" si="2"/>
        <v>7053</v>
      </c>
      <c r="P26" s="289"/>
      <c r="Q26" s="85"/>
    </row>
    <row r="27" spans="1:17" x14ac:dyDescent="0.35">
      <c r="A27" s="244" t="s">
        <v>263</v>
      </c>
      <c r="B27" s="240" t="s">
        <v>264</v>
      </c>
      <c r="C27" s="245">
        <v>7.5</v>
      </c>
      <c r="D27" s="246">
        <f>PI()*(('TTS Design Calcs'!C117/2)^2)</f>
        <v>153.93804002589985</v>
      </c>
      <c r="E27" s="242">
        <v>1</v>
      </c>
      <c r="F27" s="243">
        <f t="shared" si="3"/>
        <v>129000</v>
      </c>
      <c r="G27" s="285" t="s">
        <v>265</v>
      </c>
      <c r="H27" s="286">
        <v>2019</v>
      </c>
      <c r="I27" s="287">
        <v>32000</v>
      </c>
      <c r="J27" s="288">
        <v>129000</v>
      </c>
      <c r="K27" s="287">
        <f>I27</f>
        <v>32000</v>
      </c>
      <c r="L27" s="286" t="s">
        <v>243</v>
      </c>
      <c r="M27" s="289">
        <f t="shared" si="4"/>
        <v>129000</v>
      </c>
      <c r="N27" s="286">
        <f t="shared" si="1"/>
        <v>0</v>
      </c>
      <c r="O27" s="289">
        <f t="shared" si="2"/>
        <v>129000</v>
      </c>
      <c r="P27" s="289"/>
      <c r="Q27" s="85"/>
    </row>
    <row r="28" spans="1:17" x14ac:dyDescent="0.35">
      <c r="A28" s="240" t="s">
        <v>266</v>
      </c>
      <c r="B28" s="240" t="s">
        <v>267</v>
      </c>
      <c r="C28" s="245" t="s">
        <v>280</v>
      </c>
      <c r="D28" s="246">
        <f>PI()*(('TTS Design Calcs'!C201/2)^2)</f>
        <v>113.09733552923255</v>
      </c>
      <c r="E28" s="242">
        <v>1</v>
      </c>
      <c r="F28" s="243">
        <f t="shared" ref="F28:F34" si="5">O28*E28</f>
        <v>33000</v>
      </c>
      <c r="G28" s="285" t="s">
        <v>268</v>
      </c>
      <c r="H28" s="286">
        <v>2019</v>
      </c>
      <c r="I28" s="287">
        <v>9000</v>
      </c>
      <c r="J28" s="288">
        <v>33000</v>
      </c>
      <c r="K28" s="287">
        <f>'TTS Design Calcs'!C191</f>
        <v>9000</v>
      </c>
      <c r="L28" s="286" t="s">
        <v>243</v>
      </c>
      <c r="M28" s="289">
        <f>J28*(K28/I28)^0.7</f>
        <v>33000</v>
      </c>
      <c r="N28" s="286">
        <f t="shared" si="1"/>
        <v>0</v>
      </c>
      <c r="O28" s="289">
        <f t="shared" si="2"/>
        <v>33000</v>
      </c>
      <c r="P28" s="289"/>
      <c r="Q28" s="85"/>
    </row>
    <row r="29" spans="1:17" x14ac:dyDescent="0.35">
      <c r="A29" s="240" t="s">
        <v>269</v>
      </c>
      <c r="B29" s="240" t="str">
        <f>'TTS Design Calcs'!L178&amp;" - "&amp;'TTS Design Calcs'!C179&amp;" ft3"&amp;" including platform and conveyor"</f>
        <v>3 - 100 ft3 including platform and conveyor</v>
      </c>
      <c r="C29" s="245">
        <v>15</v>
      </c>
      <c r="D29" s="241">
        <f>34*7*2</f>
        <v>476</v>
      </c>
      <c r="E29" s="242">
        <v>3</v>
      </c>
      <c r="F29" s="243">
        <f t="shared" si="5"/>
        <v>1058001</v>
      </c>
      <c r="G29" s="285" t="s">
        <v>242</v>
      </c>
      <c r="H29" s="286">
        <v>2019</v>
      </c>
      <c r="I29" s="287">
        <v>200</v>
      </c>
      <c r="J29" s="288">
        <v>352667</v>
      </c>
      <c r="K29" s="287">
        <v>200</v>
      </c>
      <c r="L29" s="286" t="s">
        <v>270</v>
      </c>
      <c r="M29" s="289">
        <f t="shared" si="4"/>
        <v>352667</v>
      </c>
      <c r="N29" s="286">
        <f t="shared" si="1"/>
        <v>0</v>
      </c>
      <c r="O29" s="289">
        <f t="shared" ref="O29:O33" si="6">M29*(1.03^N29)</f>
        <v>352667</v>
      </c>
      <c r="P29" s="289" t="s">
        <v>271</v>
      </c>
      <c r="Q29" s="85"/>
    </row>
    <row r="30" spans="1:17" x14ac:dyDescent="0.35">
      <c r="A30" s="240" t="s">
        <v>272</v>
      </c>
      <c r="B30" s="253" t="s">
        <v>273</v>
      </c>
      <c r="C30" s="241" t="s">
        <v>280</v>
      </c>
      <c r="D30" s="246">
        <f>PI()*(('TTS Design Calcs'!C218/2)^2)</f>
        <v>50.26548245743669</v>
      </c>
      <c r="E30" s="242">
        <v>1</v>
      </c>
      <c r="F30" s="243">
        <f t="shared" si="5"/>
        <v>10000</v>
      </c>
      <c r="G30" s="285" t="s">
        <v>274</v>
      </c>
      <c r="H30" s="286">
        <v>2019</v>
      </c>
      <c r="I30" s="287">
        <v>3000</v>
      </c>
      <c r="J30" s="288">
        <v>10000</v>
      </c>
      <c r="K30" s="287">
        <f>'TTS Design Calcs'!C208</f>
        <v>3000</v>
      </c>
      <c r="L30" s="286" t="s">
        <v>243</v>
      </c>
      <c r="M30" s="289">
        <f t="shared" si="4"/>
        <v>10000</v>
      </c>
      <c r="N30" s="286">
        <f t="shared" si="1"/>
        <v>0</v>
      </c>
      <c r="O30" s="289">
        <f t="shared" si="6"/>
        <v>10000</v>
      </c>
      <c r="P30" s="289"/>
      <c r="Q30" s="85"/>
    </row>
    <row r="31" spans="1:17" x14ac:dyDescent="0.35">
      <c r="A31" s="240" t="s">
        <v>275</v>
      </c>
      <c r="B31" s="253" t="str">
        <f>'TTS Design Calcs'!C204&amp;" "&amp;'TTS Design Calcs'!D204</f>
        <v>9 gpm</v>
      </c>
      <c r="C31" s="241">
        <v>0.5</v>
      </c>
      <c r="D31" s="241">
        <f>4*4</f>
        <v>16</v>
      </c>
      <c r="E31" s="242">
        <v>2</v>
      </c>
      <c r="F31" s="243">
        <f t="shared" si="5"/>
        <v>13400</v>
      </c>
      <c r="G31" s="285" t="s">
        <v>253</v>
      </c>
      <c r="H31" s="286">
        <v>2019</v>
      </c>
      <c r="I31" s="287">
        <v>9</v>
      </c>
      <c r="J31" s="288">
        <v>6700</v>
      </c>
      <c r="K31" s="287">
        <f>'TTS Design Calcs'!C204</f>
        <v>9</v>
      </c>
      <c r="L31" s="286" t="s">
        <v>230</v>
      </c>
      <c r="M31" s="289">
        <f t="shared" si="4"/>
        <v>6700</v>
      </c>
      <c r="N31" s="286">
        <f t="shared" si="1"/>
        <v>0</v>
      </c>
      <c r="O31" s="289">
        <f t="shared" si="6"/>
        <v>6700</v>
      </c>
      <c r="P31" s="289"/>
      <c r="Q31" s="85"/>
    </row>
    <row r="32" spans="1:17" x14ac:dyDescent="0.35">
      <c r="A32" s="240" t="s">
        <v>276</v>
      </c>
      <c r="B32" s="253" t="s">
        <v>273</v>
      </c>
      <c r="C32" s="245" t="s">
        <v>280</v>
      </c>
      <c r="D32" s="246">
        <f>PI()*(('TTS Design Calcs'!C372/2)^2)</f>
        <v>50.26548245743669</v>
      </c>
      <c r="E32" s="242">
        <v>1</v>
      </c>
      <c r="F32" s="243">
        <f t="shared" si="5"/>
        <v>10000</v>
      </c>
      <c r="G32" s="285" t="s">
        <v>268</v>
      </c>
      <c r="H32" s="286">
        <v>2019</v>
      </c>
      <c r="I32" s="287">
        <v>3000</v>
      </c>
      <c r="J32" s="288">
        <v>10000</v>
      </c>
      <c r="K32" s="287">
        <f>'TTS Design Calcs'!C362</f>
        <v>3000</v>
      </c>
      <c r="L32" s="286" t="s">
        <v>243</v>
      </c>
      <c r="M32" s="289">
        <f t="shared" si="4"/>
        <v>10000</v>
      </c>
      <c r="N32" s="286">
        <f t="shared" si="1"/>
        <v>0</v>
      </c>
      <c r="O32" s="289">
        <f t="shared" si="6"/>
        <v>10000</v>
      </c>
      <c r="P32" s="289"/>
      <c r="Q32" s="85"/>
    </row>
    <row r="33" spans="1:17" x14ac:dyDescent="0.35">
      <c r="A33" s="240" t="s">
        <v>277</v>
      </c>
      <c r="B33" s="240" t="str">
        <f>'TTS Design Calcs'!C358&amp;" "&amp;'TTS Design Calcs'!D358</f>
        <v>27.97 gpm</v>
      </c>
      <c r="C33" s="245">
        <v>1</v>
      </c>
      <c r="D33" s="241">
        <f>4*4</f>
        <v>16</v>
      </c>
      <c r="E33" s="242">
        <v>2</v>
      </c>
      <c r="F33" s="243">
        <f t="shared" si="5"/>
        <v>10791.898697609511</v>
      </c>
      <c r="G33" s="285" t="s">
        <v>253</v>
      </c>
      <c r="H33" s="286">
        <v>2019</v>
      </c>
      <c r="I33" s="287">
        <v>28</v>
      </c>
      <c r="J33" s="288">
        <v>5400</v>
      </c>
      <c r="K33" s="287">
        <f>'TTS Design Calcs'!C358</f>
        <v>27.97</v>
      </c>
      <c r="L33" s="286" t="s">
        <v>230</v>
      </c>
      <c r="M33" s="289">
        <f t="shared" si="4"/>
        <v>5395.9493488047556</v>
      </c>
      <c r="N33" s="286">
        <f t="shared" si="1"/>
        <v>0</v>
      </c>
      <c r="O33" s="289">
        <f t="shared" si="6"/>
        <v>5395.9493488047556</v>
      </c>
      <c r="P33" s="289"/>
      <c r="Q33" s="85"/>
    </row>
    <row r="34" spans="1:17" x14ac:dyDescent="0.35">
      <c r="A34" s="416" t="s">
        <v>278</v>
      </c>
      <c r="B34" s="240" t="s">
        <v>279</v>
      </c>
      <c r="C34" s="241">
        <v>15</v>
      </c>
      <c r="D34" s="241">
        <f>4*4</f>
        <v>16</v>
      </c>
      <c r="E34" s="242">
        <v>2</v>
      </c>
      <c r="F34" s="243">
        <f t="shared" si="5"/>
        <v>30000</v>
      </c>
      <c r="G34" s="291" t="s">
        <v>688</v>
      </c>
      <c r="H34" s="338" t="s">
        <v>280</v>
      </c>
      <c r="I34" s="338" t="s">
        <v>280</v>
      </c>
      <c r="J34" s="338" t="s">
        <v>280</v>
      </c>
      <c r="K34" s="338" t="s">
        <v>280</v>
      </c>
      <c r="L34" s="338" t="s">
        <v>280</v>
      </c>
      <c r="M34" s="338" t="s">
        <v>280</v>
      </c>
      <c r="N34" s="338" t="s">
        <v>280</v>
      </c>
      <c r="O34" s="289">
        <v>15000</v>
      </c>
      <c r="P34" s="289"/>
      <c r="Q34" s="85"/>
    </row>
    <row r="35" spans="1:17" x14ac:dyDescent="0.35">
      <c r="A35" s="416" t="s">
        <v>281</v>
      </c>
      <c r="B35" s="240"/>
      <c r="C35" s="241" t="s">
        <v>280</v>
      </c>
      <c r="D35" s="241" t="s">
        <v>280</v>
      </c>
      <c r="E35" s="242">
        <v>1</v>
      </c>
      <c r="F35" s="243">
        <v>100000</v>
      </c>
      <c r="G35" s="291" t="s">
        <v>286</v>
      </c>
      <c r="H35" s="338" t="s">
        <v>280</v>
      </c>
      <c r="I35" s="338" t="s">
        <v>280</v>
      </c>
      <c r="J35" s="338" t="s">
        <v>280</v>
      </c>
      <c r="K35" s="338" t="s">
        <v>280</v>
      </c>
      <c r="L35" s="338" t="s">
        <v>280</v>
      </c>
      <c r="M35" s="338" t="s">
        <v>280</v>
      </c>
      <c r="N35" s="338" t="s">
        <v>280</v>
      </c>
      <c r="O35" s="289">
        <v>300000</v>
      </c>
      <c r="P35" s="289"/>
      <c r="Q35" s="85"/>
    </row>
    <row r="36" spans="1:17" x14ac:dyDescent="0.35">
      <c r="A36" s="416" t="s">
        <v>282</v>
      </c>
      <c r="B36" s="240"/>
      <c r="C36" s="241" t="s">
        <v>280</v>
      </c>
      <c r="D36" s="241" t="s">
        <v>280</v>
      </c>
      <c r="E36" s="242">
        <v>1</v>
      </c>
      <c r="F36" s="243">
        <v>156000</v>
      </c>
      <c r="G36" s="291" t="s">
        <v>688</v>
      </c>
      <c r="H36" s="338" t="s">
        <v>280</v>
      </c>
      <c r="I36" s="338" t="s">
        <v>280</v>
      </c>
      <c r="J36" s="338" t="s">
        <v>280</v>
      </c>
      <c r="K36" s="338" t="s">
        <v>280</v>
      </c>
      <c r="L36" s="338" t="s">
        <v>280</v>
      </c>
      <c r="M36" s="338" t="s">
        <v>280</v>
      </c>
      <c r="N36" s="338" t="s">
        <v>280</v>
      </c>
      <c r="O36" s="289">
        <v>160000</v>
      </c>
      <c r="P36" s="289"/>
      <c r="Q36" s="85"/>
    </row>
    <row r="37" spans="1:17" x14ac:dyDescent="0.35">
      <c r="A37" s="416" t="s">
        <v>283</v>
      </c>
      <c r="B37" s="240"/>
      <c r="C37" s="241" t="s">
        <v>280</v>
      </c>
      <c r="D37" s="241" t="s">
        <v>280</v>
      </c>
      <c r="E37" s="242">
        <v>1</v>
      </c>
      <c r="F37" s="243">
        <v>50000</v>
      </c>
      <c r="G37" s="291" t="s">
        <v>688</v>
      </c>
      <c r="H37" s="338" t="s">
        <v>280</v>
      </c>
      <c r="I37" s="338" t="s">
        <v>280</v>
      </c>
      <c r="J37" s="338" t="s">
        <v>280</v>
      </c>
      <c r="K37" s="338" t="s">
        <v>280</v>
      </c>
      <c r="L37" s="338" t="s">
        <v>280</v>
      </c>
      <c r="M37" s="338" t="s">
        <v>280</v>
      </c>
      <c r="N37" s="338" t="s">
        <v>280</v>
      </c>
      <c r="O37" s="289">
        <v>75000</v>
      </c>
      <c r="P37" s="289"/>
      <c r="Q37" s="85"/>
    </row>
    <row r="38" spans="1:17" x14ac:dyDescent="0.35">
      <c r="A38" s="416" t="s">
        <v>284</v>
      </c>
      <c r="B38" s="240"/>
      <c r="C38" s="241">
        <v>5</v>
      </c>
      <c r="D38" s="241" t="s">
        <v>280</v>
      </c>
      <c r="E38" s="242">
        <v>1</v>
      </c>
      <c r="F38" s="243">
        <v>50000</v>
      </c>
      <c r="G38" s="291" t="s">
        <v>688</v>
      </c>
      <c r="H38" s="338" t="s">
        <v>280</v>
      </c>
      <c r="I38" s="338" t="s">
        <v>280</v>
      </c>
      <c r="J38" s="338" t="s">
        <v>280</v>
      </c>
      <c r="K38" s="338" t="s">
        <v>280</v>
      </c>
      <c r="L38" s="338" t="s">
        <v>280</v>
      </c>
      <c r="M38" s="338" t="s">
        <v>280</v>
      </c>
      <c r="N38" s="338" t="s">
        <v>280</v>
      </c>
      <c r="O38" s="289">
        <v>200000</v>
      </c>
      <c r="P38" s="289"/>
      <c r="Q38" s="85"/>
    </row>
    <row r="39" spans="1:17" x14ac:dyDescent="0.35">
      <c r="A39" s="416" t="s">
        <v>285</v>
      </c>
      <c r="B39" s="240"/>
      <c r="C39" s="241" t="s">
        <v>280</v>
      </c>
      <c r="D39" s="241" t="s">
        <v>280</v>
      </c>
      <c r="E39" s="242">
        <v>1</v>
      </c>
      <c r="F39" s="243">
        <v>100000</v>
      </c>
      <c r="G39" s="291" t="s">
        <v>286</v>
      </c>
      <c r="H39" s="338" t="s">
        <v>280</v>
      </c>
      <c r="I39" s="338" t="s">
        <v>280</v>
      </c>
      <c r="J39" s="338" t="s">
        <v>280</v>
      </c>
      <c r="K39" s="338" t="s">
        <v>280</v>
      </c>
      <c r="L39" s="338" t="s">
        <v>280</v>
      </c>
      <c r="M39" s="338" t="s">
        <v>280</v>
      </c>
      <c r="N39" s="338" t="s">
        <v>280</v>
      </c>
      <c r="O39" s="289">
        <v>100000</v>
      </c>
      <c r="P39" s="289"/>
      <c r="Q39" s="85"/>
    </row>
    <row r="40" spans="1:17" x14ac:dyDescent="0.35">
      <c r="A40" s="254" t="s">
        <v>287</v>
      </c>
      <c r="B40" s="255" t="s">
        <v>288</v>
      </c>
      <c r="C40" s="570">
        <f>ROUNDUP(SUM(C14:C39),-2)</f>
        <v>400</v>
      </c>
      <c r="D40" s="571">
        <f>(SUM(D17:D39)-D21)</f>
        <v>3240.3892215395163</v>
      </c>
      <c r="E40" s="568">
        <v>1</v>
      </c>
      <c r="F40" s="569">
        <f>SUM(F17:F39)</f>
        <v>5279523.8986976091</v>
      </c>
      <c r="G40" s="85"/>
      <c r="H40" s="85"/>
      <c r="I40" s="85"/>
      <c r="J40" s="85"/>
      <c r="K40" s="85"/>
      <c r="L40" s="85"/>
      <c r="M40" s="85"/>
      <c r="N40" s="85"/>
      <c r="O40" s="85"/>
      <c r="P40" s="85"/>
      <c r="Q40" s="85"/>
    </row>
    <row r="41" spans="1:17" x14ac:dyDescent="0.35">
      <c r="A41" s="284" t="s">
        <v>289</v>
      </c>
      <c r="B41" s="80"/>
      <c r="C41">
        <f>C40*0.7457</f>
        <v>298.28000000000003</v>
      </c>
      <c r="D41">
        <f>D40+D21</f>
        <v>8782.1586624719112</v>
      </c>
      <c r="E41" t="s">
        <v>693</v>
      </c>
      <c r="G41" s="85"/>
      <c r="H41" s="85"/>
      <c r="I41" s="85"/>
      <c r="J41" s="85"/>
      <c r="K41" s="85"/>
      <c r="L41" s="85"/>
      <c r="M41" s="85"/>
      <c r="N41" s="85"/>
      <c r="O41" s="85"/>
      <c r="P41" s="85"/>
      <c r="Q41" s="85"/>
    </row>
    <row r="42" spans="1:17" x14ac:dyDescent="0.35">
      <c r="A42" s="82" t="s">
        <v>290</v>
      </c>
      <c r="B42" s="80"/>
      <c r="C42" s="81"/>
      <c r="D42" s="82"/>
      <c r="E42" s="83"/>
      <c r="F42" s="84"/>
      <c r="G42" s="85"/>
      <c r="H42" s="85"/>
      <c r="I42" s="85"/>
      <c r="J42" s="85"/>
      <c r="K42" s="85"/>
      <c r="L42" s="85"/>
      <c r="M42" s="85"/>
      <c r="N42" s="85"/>
      <c r="O42" s="85"/>
      <c r="P42" s="85"/>
      <c r="Q42" s="85"/>
    </row>
    <row r="43" spans="1:17" x14ac:dyDescent="0.35">
      <c r="A43" s="452" t="s">
        <v>291</v>
      </c>
    </row>
  </sheetData>
  <sheetProtection algorithmName="SHA-512" hashValue="m+TPvCYrfEDdv4+y3L/I/GBnxFNUIliaa7oAFbGO9xj1YC5SHUgHGLviMRaBnHvGMc+78n8aNUNfOoTZeVXUvA==" saltValue="JkQ6/ORJBjGpSQYZuP8pNQ==" spinCount="100000" sheet="1" objects="1" scenarios="1"/>
  <mergeCells count="1">
    <mergeCell ref="A10:F10"/>
  </mergeCells>
  <pageMargins left="0.7" right="0.7" top="0.75" bottom="0.75" header="0.3" footer="0.3"/>
  <pageSetup paperSize="17" scale="5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O135"/>
  <sheetViews>
    <sheetView view="pageBreakPreview" zoomScaleNormal="70" zoomScaleSheetLayoutView="100" workbookViewId="0">
      <pane xSplit="1" ySplit="10" topLeftCell="B106" activePane="bottomRight" state="frozen"/>
      <selection pane="topRight" activeCell="B52" sqref="B52"/>
      <selection pane="bottomLeft" activeCell="B52" sqref="B52"/>
      <selection pane="bottomRight" activeCell="D119" sqref="D119"/>
    </sheetView>
  </sheetViews>
  <sheetFormatPr defaultRowHeight="14.5" x14ac:dyDescent="0.35"/>
  <cols>
    <col min="1" max="1" width="27.7265625" customWidth="1"/>
    <col min="2" max="2" width="10.7265625" customWidth="1"/>
    <col min="3" max="3" width="10.54296875" customWidth="1"/>
    <col min="4" max="4" width="15.7265625" customWidth="1"/>
    <col min="5" max="5" width="10.7265625" customWidth="1"/>
    <col min="6" max="6" width="11.36328125" customWidth="1"/>
    <col min="7" max="7" width="10.26953125" customWidth="1"/>
    <col min="8" max="8" width="14" customWidth="1"/>
    <col min="9" max="10" width="11.26953125" customWidth="1"/>
    <col min="11" max="11" width="12.7265625" hidden="1" customWidth="1"/>
    <col min="12" max="12" width="13.54296875" customWidth="1"/>
    <col min="13" max="13" width="10.7265625" customWidth="1"/>
    <col min="14" max="14" width="8.54296875" hidden="1" customWidth="1"/>
    <col min="15" max="15" width="9.54296875" customWidth="1"/>
    <col min="16" max="16" width="9.7265625" customWidth="1"/>
    <col min="17" max="17" width="12.26953125" hidden="1" customWidth="1"/>
    <col min="19" max="19" width="10.36328125" customWidth="1"/>
    <col min="21" max="21" width="13.26953125" customWidth="1"/>
    <col min="22" max="22" width="12.7265625" customWidth="1"/>
    <col min="23" max="23" width="12.7265625" bestFit="1" customWidth="1"/>
    <col min="24" max="24" width="15.36328125" customWidth="1"/>
    <col min="25" max="25" width="13.54296875" customWidth="1"/>
    <col min="26" max="26" width="13.26953125" customWidth="1"/>
    <col min="27" max="27" width="14.26953125" customWidth="1"/>
    <col min="28" max="28" width="14.36328125" customWidth="1"/>
    <col min="29" max="29" width="13.26953125" customWidth="1"/>
    <col min="30" max="35" width="12" customWidth="1"/>
    <col min="36" max="36" width="12.54296875" customWidth="1"/>
    <col min="37" max="37" width="11.26953125" customWidth="1"/>
    <col min="38" max="38" width="13.36328125" customWidth="1"/>
  </cols>
  <sheetData>
    <row r="1" spans="1:41" x14ac:dyDescent="0.35">
      <c r="I1" s="22"/>
      <c r="J1" s="22"/>
      <c r="K1" s="22"/>
      <c r="L1" s="22"/>
      <c r="M1" s="22"/>
      <c r="N1" s="22"/>
    </row>
    <row r="2" spans="1:41" x14ac:dyDescent="0.35">
      <c r="I2" s="22"/>
      <c r="J2" s="22"/>
      <c r="K2" s="22"/>
      <c r="L2" s="22"/>
      <c r="M2" s="22"/>
      <c r="N2" s="22"/>
    </row>
    <row r="3" spans="1:41" ht="18" x14ac:dyDescent="0.4">
      <c r="A3" s="3"/>
      <c r="B3" s="3"/>
      <c r="C3" s="3"/>
      <c r="D3" s="270"/>
      <c r="E3" s="270"/>
      <c r="G3" s="19"/>
      <c r="H3" s="20"/>
      <c r="I3" s="22"/>
      <c r="J3" s="22"/>
      <c r="K3" s="22"/>
      <c r="L3" s="22"/>
      <c r="M3" s="22"/>
      <c r="N3" s="22"/>
    </row>
    <row r="4" spans="1:41" x14ac:dyDescent="0.35">
      <c r="A4" s="451" t="s">
        <v>1</v>
      </c>
      <c r="B4" s="460" t="str">
        <f>'2019 CCP Summary'!B4</f>
        <v>REV 0 July 29, 2019</v>
      </c>
      <c r="C4" s="4"/>
      <c r="D4" s="4"/>
      <c r="E4" s="4"/>
      <c r="F4" s="4"/>
      <c r="G4" s="5"/>
      <c r="H4" s="22"/>
      <c r="I4" s="22"/>
      <c r="J4" s="22"/>
      <c r="K4" s="22"/>
      <c r="L4" s="22"/>
      <c r="M4" s="22"/>
      <c r="N4" s="22"/>
    </row>
    <row r="5" spans="1:41" x14ac:dyDescent="0.35">
      <c r="A5" s="453" t="s">
        <v>2</v>
      </c>
      <c r="B5" s="461">
        <f>'2019 CCP Summary'!B5</f>
        <v>18106417</v>
      </c>
      <c r="C5" s="7"/>
      <c r="G5" s="5"/>
      <c r="H5" s="22"/>
    </row>
    <row r="6" spans="1:41" x14ac:dyDescent="0.35">
      <c r="A6" s="453" t="s">
        <v>3</v>
      </c>
      <c r="B6" s="415" t="s">
        <v>292</v>
      </c>
      <c r="C6" s="8"/>
      <c r="G6" s="453"/>
      <c r="H6" s="22"/>
    </row>
    <row r="7" spans="1:41" x14ac:dyDescent="0.35">
      <c r="A7" s="454" t="s">
        <v>5</v>
      </c>
      <c r="B7" s="7" t="s">
        <v>6</v>
      </c>
      <c r="C7" s="8"/>
      <c r="D7" s="454"/>
      <c r="E7" s="454"/>
      <c r="F7" s="454"/>
      <c r="G7" s="454"/>
      <c r="H7" s="450"/>
    </row>
    <row r="9" spans="1:41" s="91" customFormat="1" ht="22.5" customHeight="1" x14ac:dyDescent="0.4">
      <c r="A9" s="729" t="s">
        <v>50</v>
      </c>
      <c r="B9" s="733" t="s">
        <v>293</v>
      </c>
      <c r="C9" s="733"/>
      <c r="D9" s="733"/>
      <c r="E9" s="733"/>
      <c r="F9" s="733"/>
      <c r="G9" s="733"/>
      <c r="H9" s="733"/>
      <c r="I9" s="733"/>
      <c r="J9" s="733"/>
      <c r="K9" s="733"/>
      <c r="L9" s="733"/>
      <c r="M9" s="730" t="s">
        <v>294</v>
      </c>
      <c r="N9" s="731"/>
      <c r="O9" s="731"/>
      <c r="P9" s="731"/>
      <c r="Q9" s="731"/>
      <c r="R9" s="731"/>
      <c r="S9" s="732"/>
      <c r="T9" s="733" t="s">
        <v>295</v>
      </c>
      <c r="U9" s="733"/>
      <c r="V9" s="733"/>
      <c r="W9" s="733"/>
      <c r="X9" s="728"/>
      <c r="Y9" s="728"/>
      <c r="Z9" s="728"/>
      <c r="AA9" s="728"/>
      <c r="AB9" s="728"/>
      <c r="AC9" s="728"/>
      <c r="AD9" s="728"/>
      <c r="AE9" s="728"/>
      <c r="AF9" s="728"/>
      <c r="AG9" s="728"/>
      <c r="AH9" s="728"/>
      <c r="AI9" s="734"/>
      <c r="AJ9" s="728" t="s">
        <v>296</v>
      </c>
      <c r="AK9" s="728"/>
      <c r="AL9" s="728"/>
      <c r="AM9" s="452"/>
      <c r="AN9" s="452"/>
      <c r="AO9" s="452"/>
    </row>
    <row r="10" spans="1:41" s="91" customFormat="1" ht="65" x14ac:dyDescent="0.3">
      <c r="A10" s="729"/>
      <c r="B10" s="457" t="s">
        <v>297</v>
      </c>
      <c r="C10" s="457" t="s">
        <v>298</v>
      </c>
      <c r="D10" s="457" t="s">
        <v>299</v>
      </c>
      <c r="E10" s="457" t="s">
        <v>300</v>
      </c>
      <c r="F10" s="457" t="s">
        <v>301</v>
      </c>
      <c r="G10" s="457" t="s">
        <v>302</v>
      </c>
      <c r="H10" s="457" t="s">
        <v>303</v>
      </c>
      <c r="I10" s="457" t="s">
        <v>304</v>
      </c>
      <c r="J10" s="457" t="s">
        <v>305</v>
      </c>
      <c r="K10" s="457" t="s">
        <v>306</v>
      </c>
      <c r="L10" s="457" t="s">
        <v>307</v>
      </c>
      <c r="M10" s="457" t="s">
        <v>308</v>
      </c>
      <c r="N10" s="457" t="s">
        <v>309</v>
      </c>
      <c r="O10" s="457" t="s">
        <v>310</v>
      </c>
      <c r="P10" s="457" t="s">
        <v>311</v>
      </c>
      <c r="Q10" s="410" t="s">
        <v>312</v>
      </c>
      <c r="R10" s="457" t="s">
        <v>313</v>
      </c>
      <c r="S10" s="457" t="s">
        <v>314</v>
      </c>
      <c r="T10" s="457" t="s">
        <v>315</v>
      </c>
      <c r="U10" s="457" t="s">
        <v>316</v>
      </c>
      <c r="V10" s="457" t="s">
        <v>317</v>
      </c>
      <c r="W10" s="457" t="s">
        <v>318</v>
      </c>
      <c r="X10" s="457" t="s">
        <v>319</v>
      </c>
      <c r="Y10" s="457" t="s">
        <v>320</v>
      </c>
      <c r="Z10" s="457" t="s">
        <v>321</v>
      </c>
      <c r="AA10" s="457" t="s">
        <v>322</v>
      </c>
      <c r="AB10" s="457" t="s">
        <v>323</v>
      </c>
      <c r="AC10" s="457" t="s">
        <v>324</v>
      </c>
      <c r="AD10" s="457" t="s">
        <v>325</v>
      </c>
      <c r="AE10" s="457" t="s">
        <v>326</v>
      </c>
      <c r="AF10" s="457" t="s">
        <v>327</v>
      </c>
      <c r="AG10" s="457" t="s">
        <v>328</v>
      </c>
      <c r="AH10" s="457" t="s">
        <v>329</v>
      </c>
      <c r="AI10" s="323" t="s">
        <v>330</v>
      </c>
      <c r="AJ10" s="457" t="s">
        <v>331</v>
      </c>
      <c r="AK10" s="457" t="s">
        <v>332</v>
      </c>
      <c r="AL10" s="303" t="s">
        <v>333</v>
      </c>
      <c r="AM10" s="452"/>
      <c r="AN10" s="452"/>
      <c r="AO10" s="452" t="s">
        <v>334</v>
      </c>
    </row>
    <row r="11" spans="1:41" s="91" customFormat="1" ht="12.5" hidden="1" x14ac:dyDescent="0.25">
      <c r="A11" s="106">
        <v>1</v>
      </c>
      <c r="B11" s="292">
        <v>0</v>
      </c>
      <c r="C11" s="292">
        <v>0</v>
      </c>
      <c r="D11" s="292">
        <v>0</v>
      </c>
      <c r="E11" s="292">
        <v>0</v>
      </c>
      <c r="F11" s="292">
        <v>0</v>
      </c>
      <c r="G11" s="292">
        <v>0</v>
      </c>
      <c r="H11" s="292">
        <v>0</v>
      </c>
      <c r="I11" s="292">
        <v>0</v>
      </c>
      <c r="J11" s="292">
        <v>0</v>
      </c>
      <c r="K11" s="292">
        <v>0</v>
      </c>
      <c r="L11" s="292">
        <v>0</v>
      </c>
      <c r="M11" s="292"/>
      <c r="N11" s="292">
        <v>0</v>
      </c>
      <c r="O11" s="292">
        <v>0</v>
      </c>
      <c r="P11" s="292">
        <v>0</v>
      </c>
      <c r="Q11" s="292">
        <v>0</v>
      </c>
      <c r="R11" s="292">
        <v>0</v>
      </c>
      <c r="S11" s="292">
        <v>0</v>
      </c>
      <c r="T11" s="292">
        <v>0</v>
      </c>
      <c r="U11" s="292">
        <v>0</v>
      </c>
      <c r="V11" s="107">
        <v>0</v>
      </c>
      <c r="W11" s="106">
        <v>0</v>
      </c>
      <c r="X11" s="107">
        <v>0</v>
      </c>
      <c r="Y11" s="107">
        <v>0</v>
      </c>
      <c r="Z11" s="292">
        <v>0</v>
      </c>
      <c r="AA11" s="292">
        <v>0</v>
      </c>
      <c r="AB11" s="292">
        <v>0</v>
      </c>
      <c r="AC11" s="292">
        <v>0</v>
      </c>
      <c r="AD11" s="107">
        <v>0</v>
      </c>
      <c r="AE11" s="292">
        <v>0</v>
      </c>
      <c r="AF11" s="292">
        <v>0</v>
      </c>
      <c r="AG11" s="292">
        <v>0</v>
      </c>
      <c r="AH11" s="107">
        <v>0</v>
      </c>
      <c r="AI11" s="302">
        <v>0</v>
      </c>
      <c r="AJ11" s="304">
        <f>'TTS Design Calcs'!$C$381*H11</f>
        <v>0</v>
      </c>
      <c r="AK11" s="304">
        <f>'TTS Design Calcs'!$C$390*D11</f>
        <v>0</v>
      </c>
      <c r="AL11" s="305">
        <f t="shared" ref="AL11:AL42" si="0">SUM(AJ11,AK11)</f>
        <v>0</v>
      </c>
      <c r="AM11" s="452"/>
      <c r="AN11" s="452"/>
      <c r="AO11" s="452"/>
    </row>
    <row r="12" spans="1:41" s="91" customFormat="1" ht="12.5" hidden="1" x14ac:dyDescent="0.25">
      <c r="A12" s="106">
        <v>2</v>
      </c>
      <c r="B12" s="292">
        <v>0</v>
      </c>
      <c r="C12" s="292">
        <v>0</v>
      </c>
      <c r="D12" s="292">
        <v>0</v>
      </c>
      <c r="E12" s="292">
        <v>0</v>
      </c>
      <c r="F12" s="292">
        <v>0</v>
      </c>
      <c r="G12" s="292">
        <v>0</v>
      </c>
      <c r="H12" s="292">
        <v>0</v>
      </c>
      <c r="I12" s="292">
        <v>0</v>
      </c>
      <c r="J12" s="292">
        <v>0</v>
      </c>
      <c r="K12" s="292">
        <v>0</v>
      </c>
      <c r="L12" s="292">
        <v>0</v>
      </c>
      <c r="M12" s="292"/>
      <c r="N12" s="292">
        <v>0</v>
      </c>
      <c r="O12" s="107">
        <v>0</v>
      </c>
      <c r="P12" s="107">
        <v>0</v>
      </c>
      <c r="Q12" s="292">
        <v>0</v>
      </c>
      <c r="R12" s="292">
        <v>0</v>
      </c>
      <c r="S12" s="292">
        <v>0</v>
      </c>
      <c r="T12" s="292">
        <v>0</v>
      </c>
      <c r="U12" s="292">
        <v>0</v>
      </c>
      <c r="V12" s="107">
        <v>0</v>
      </c>
      <c r="W12" s="106">
        <v>0</v>
      </c>
      <c r="X12" s="107">
        <v>0</v>
      </c>
      <c r="Y12" s="107">
        <v>0</v>
      </c>
      <c r="Z12" s="292">
        <v>0</v>
      </c>
      <c r="AA12" s="292">
        <v>0</v>
      </c>
      <c r="AB12" s="292">
        <v>0</v>
      </c>
      <c r="AC12" s="292">
        <v>0</v>
      </c>
      <c r="AD12" s="107">
        <v>0</v>
      </c>
      <c r="AE12" s="292">
        <v>0</v>
      </c>
      <c r="AF12" s="292">
        <v>0</v>
      </c>
      <c r="AG12" s="292">
        <v>0</v>
      </c>
      <c r="AH12" s="107">
        <v>0</v>
      </c>
      <c r="AI12" s="302">
        <v>0</v>
      </c>
      <c r="AJ12" s="304">
        <f>'TTS Design Calcs'!$C$381*H12</f>
        <v>0</v>
      </c>
      <c r="AK12" s="304">
        <f>'TTS Design Calcs'!$C$390*D12</f>
        <v>0</v>
      </c>
      <c r="AL12" s="305">
        <f t="shared" si="0"/>
        <v>0</v>
      </c>
      <c r="AM12" s="452"/>
      <c r="AN12" s="452"/>
      <c r="AO12" s="452"/>
    </row>
    <row r="13" spans="1:41" s="91" customFormat="1" ht="12.5" hidden="1" x14ac:dyDescent="0.25">
      <c r="A13" s="106">
        <v>3</v>
      </c>
      <c r="B13" s="292">
        <v>0</v>
      </c>
      <c r="C13" s="292">
        <v>0</v>
      </c>
      <c r="D13" s="292">
        <v>0</v>
      </c>
      <c r="E13" s="292">
        <v>0</v>
      </c>
      <c r="F13" s="292">
        <v>0</v>
      </c>
      <c r="G13" s="292">
        <v>0</v>
      </c>
      <c r="H13" s="292">
        <v>0</v>
      </c>
      <c r="I13" s="292">
        <v>0</v>
      </c>
      <c r="J13" s="292">
        <v>0</v>
      </c>
      <c r="K13" s="292">
        <v>0</v>
      </c>
      <c r="L13" s="292">
        <v>0</v>
      </c>
      <c r="M13" s="292"/>
      <c r="N13" s="292">
        <v>0</v>
      </c>
      <c r="O13" s="107">
        <v>0</v>
      </c>
      <c r="P13" s="107">
        <v>0</v>
      </c>
      <c r="Q13" s="292">
        <v>0</v>
      </c>
      <c r="R13" s="292">
        <v>0</v>
      </c>
      <c r="S13" s="292">
        <v>0</v>
      </c>
      <c r="T13" s="292">
        <v>0</v>
      </c>
      <c r="U13" s="292">
        <v>0</v>
      </c>
      <c r="V13" s="107">
        <v>0</v>
      </c>
      <c r="W13" s="106">
        <v>0</v>
      </c>
      <c r="X13" s="107">
        <v>0</v>
      </c>
      <c r="Y13" s="107">
        <v>0</v>
      </c>
      <c r="Z13" s="292">
        <v>0</v>
      </c>
      <c r="AA13" s="292">
        <v>0</v>
      </c>
      <c r="AB13" s="292">
        <v>0</v>
      </c>
      <c r="AC13" s="292">
        <v>0</v>
      </c>
      <c r="AD13" s="107">
        <v>0</v>
      </c>
      <c r="AE13" s="292">
        <v>0</v>
      </c>
      <c r="AF13" s="292">
        <v>0</v>
      </c>
      <c r="AG13" s="292">
        <v>0</v>
      </c>
      <c r="AH13" s="107">
        <v>0</v>
      </c>
      <c r="AI13" s="302">
        <v>0</v>
      </c>
      <c r="AJ13" s="304">
        <f>'TTS Design Calcs'!$C$381*H13</f>
        <v>0</v>
      </c>
      <c r="AK13" s="304">
        <f>'TTS Design Calcs'!$C$390*D13</f>
        <v>0</v>
      </c>
      <c r="AL13" s="305">
        <f t="shared" si="0"/>
        <v>0</v>
      </c>
      <c r="AM13" s="452"/>
      <c r="AN13" s="452"/>
      <c r="AO13" s="452"/>
    </row>
    <row r="14" spans="1:41" s="91" customFormat="1" ht="12.5" hidden="1" x14ac:dyDescent="0.25">
      <c r="A14" s="106">
        <v>4</v>
      </c>
      <c r="B14" s="292">
        <v>0</v>
      </c>
      <c r="C14" s="292">
        <v>0</v>
      </c>
      <c r="D14" s="292">
        <v>0</v>
      </c>
      <c r="E14" s="292">
        <v>0</v>
      </c>
      <c r="F14" s="292">
        <v>0</v>
      </c>
      <c r="G14" s="292">
        <v>0</v>
      </c>
      <c r="H14" s="292">
        <v>0</v>
      </c>
      <c r="I14" s="292">
        <v>0</v>
      </c>
      <c r="J14" s="292">
        <v>0</v>
      </c>
      <c r="K14" s="292">
        <v>0</v>
      </c>
      <c r="L14" s="292">
        <v>0</v>
      </c>
      <c r="M14" s="292"/>
      <c r="N14" s="292">
        <v>0</v>
      </c>
      <c r="O14" s="107">
        <v>0</v>
      </c>
      <c r="P14" s="107">
        <v>0</v>
      </c>
      <c r="Q14" s="292">
        <v>0</v>
      </c>
      <c r="R14" s="292">
        <v>0</v>
      </c>
      <c r="S14" s="292">
        <v>0</v>
      </c>
      <c r="T14" s="292">
        <v>0</v>
      </c>
      <c r="U14" s="292">
        <v>0</v>
      </c>
      <c r="V14" s="107">
        <v>0</v>
      </c>
      <c r="W14" s="106">
        <v>0</v>
      </c>
      <c r="X14" s="107">
        <v>0</v>
      </c>
      <c r="Y14" s="107">
        <v>0</v>
      </c>
      <c r="Z14" s="292">
        <v>0</v>
      </c>
      <c r="AA14" s="292">
        <v>0</v>
      </c>
      <c r="AB14" s="292">
        <v>0</v>
      </c>
      <c r="AC14" s="292">
        <v>0</v>
      </c>
      <c r="AD14" s="107">
        <v>0</v>
      </c>
      <c r="AE14" s="292">
        <v>0</v>
      </c>
      <c r="AF14" s="292">
        <v>0</v>
      </c>
      <c r="AG14" s="292">
        <v>0</v>
      </c>
      <c r="AH14" s="107">
        <v>0</v>
      </c>
      <c r="AI14" s="302">
        <v>0</v>
      </c>
      <c r="AJ14" s="304">
        <f>'TTS Design Calcs'!$C$381*H14</f>
        <v>0</v>
      </c>
      <c r="AK14" s="304">
        <f>'TTS Design Calcs'!$C$390*D14</f>
        <v>0</v>
      </c>
      <c r="AL14" s="305">
        <f t="shared" si="0"/>
        <v>0</v>
      </c>
      <c r="AM14" s="452"/>
      <c r="AN14" s="452"/>
      <c r="AO14" s="452"/>
    </row>
    <row r="15" spans="1:41" s="91" customFormat="1" ht="12.5" hidden="1" x14ac:dyDescent="0.25">
      <c r="A15" s="106">
        <v>5</v>
      </c>
      <c r="B15" s="292">
        <v>0</v>
      </c>
      <c r="C15" s="292">
        <v>0</v>
      </c>
      <c r="D15" s="292">
        <v>0</v>
      </c>
      <c r="E15" s="292">
        <v>0</v>
      </c>
      <c r="F15" s="292">
        <v>0</v>
      </c>
      <c r="G15" s="292">
        <v>0</v>
      </c>
      <c r="H15" s="292">
        <v>0</v>
      </c>
      <c r="I15" s="292">
        <v>0</v>
      </c>
      <c r="J15" s="292">
        <v>0</v>
      </c>
      <c r="K15" s="292">
        <v>0</v>
      </c>
      <c r="L15" s="292">
        <v>0</v>
      </c>
      <c r="M15" s="292"/>
      <c r="N15" s="292">
        <v>0</v>
      </c>
      <c r="O15" s="107">
        <v>0</v>
      </c>
      <c r="P15" s="107">
        <v>0</v>
      </c>
      <c r="Q15" s="292">
        <v>0</v>
      </c>
      <c r="R15" s="292">
        <v>0</v>
      </c>
      <c r="S15" s="292">
        <v>0</v>
      </c>
      <c r="T15" s="292">
        <v>0</v>
      </c>
      <c r="U15" s="292">
        <v>0</v>
      </c>
      <c r="V15" s="107">
        <v>0</v>
      </c>
      <c r="W15" s="106">
        <v>0</v>
      </c>
      <c r="X15" s="107">
        <v>0</v>
      </c>
      <c r="Y15" s="107">
        <v>0</v>
      </c>
      <c r="Z15" s="292">
        <v>0</v>
      </c>
      <c r="AA15" s="292">
        <v>0</v>
      </c>
      <c r="AB15" s="292">
        <v>0</v>
      </c>
      <c r="AC15" s="292">
        <v>0</v>
      </c>
      <c r="AD15" s="107">
        <v>0</v>
      </c>
      <c r="AE15" s="292">
        <v>0</v>
      </c>
      <c r="AF15" s="292">
        <v>0</v>
      </c>
      <c r="AG15" s="292">
        <v>0</v>
      </c>
      <c r="AH15" s="107">
        <v>0</v>
      </c>
      <c r="AI15" s="302">
        <v>0</v>
      </c>
      <c r="AJ15" s="304">
        <f>'TTS Design Calcs'!$C$381*H15</f>
        <v>0</v>
      </c>
      <c r="AK15" s="304">
        <f>'TTS Design Calcs'!$C$390*D15</f>
        <v>0</v>
      </c>
      <c r="AL15" s="305">
        <f t="shared" si="0"/>
        <v>0</v>
      </c>
      <c r="AM15" s="452"/>
      <c r="AN15" s="452"/>
      <c r="AO15" s="452"/>
    </row>
    <row r="16" spans="1:41" s="91" customFormat="1" ht="12.5" hidden="1" x14ac:dyDescent="0.25">
      <c r="A16" s="106">
        <v>6</v>
      </c>
      <c r="B16" s="292">
        <v>0</v>
      </c>
      <c r="C16" s="292">
        <v>0</v>
      </c>
      <c r="D16" s="292">
        <f>K16+B16+E16</f>
        <v>0</v>
      </c>
      <c r="E16" s="292">
        <v>0</v>
      </c>
      <c r="F16" s="292">
        <v>0</v>
      </c>
      <c r="G16" s="292">
        <v>0</v>
      </c>
      <c r="H16" s="292">
        <v>0</v>
      </c>
      <c r="I16" s="292">
        <f t="shared" ref="I16:I47" si="1">H16*$A$119</f>
        <v>0</v>
      </c>
      <c r="J16" s="292">
        <f t="shared" ref="J16:J47" si="2">H16-I16</f>
        <v>0</v>
      </c>
      <c r="K16" s="292">
        <v>0</v>
      </c>
      <c r="L16" s="292">
        <f t="shared" ref="L16" si="3">+B16+C16</f>
        <v>0</v>
      </c>
      <c r="M16" s="107"/>
      <c r="N16" s="292">
        <v>0</v>
      </c>
      <c r="O16" s="107">
        <v>0</v>
      </c>
      <c r="P16" s="107">
        <v>0</v>
      </c>
      <c r="Q16" s="292">
        <v>0</v>
      </c>
      <c r="R16" s="107">
        <f t="shared" ref="R16:R24" si="4">Q16*$A$120</f>
        <v>0</v>
      </c>
      <c r="S16" s="292">
        <v>0</v>
      </c>
      <c r="T16" s="107">
        <f>O16*'TTS Design Calcs'!$C$147*(J16+B16)*3.785*1440/454000</f>
        <v>0</v>
      </c>
      <c r="U16" s="107">
        <v>0</v>
      </c>
      <c r="V16" s="107">
        <f>T16/0.5</f>
        <v>0</v>
      </c>
      <c r="W16" s="107">
        <f>V16/100/27*365</f>
        <v>0</v>
      </c>
      <c r="X16" s="107">
        <f>O16*'TTS Design Calcs'!$C$224*('TTS Calculation Summary'!D16-J16)*3.785*1440/454000</f>
        <v>0</v>
      </c>
      <c r="Y16" s="107">
        <f>X16*365/2000</f>
        <v>0</v>
      </c>
      <c r="Z16" s="107">
        <f>'TTS Design Calcs'!$C$269*('TTS Calculation Summary'!D16-'TTS Calculation Summary'!J16)/365</f>
        <v>0</v>
      </c>
      <c r="AA16" s="292">
        <v>0</v>
      </c>
      <c r="AB16" s="292">
        <v>0</v>
      </c>
      <c r="AC16" s="292">
        <v>0</v>
      </c>
      <c r="AD16" s="107">
        <f>H16*'TTS Design Calcs'!$C$343</f>
        <v>0</v>
      </c>
      <c r="AE16" s="107">
        <f>H16*'TTS Design Calcs'!$C$352</f>
        <v>0</v>
      </c>
      <c r="AF16" s="292">
        <f>H16*'TTS Design Calcs'!$C$309</f>
        <v>0</v>
      </c>
      <c r="AG16" s="292">
        <f>H16*'TTS Design Calcs'!$C$317</f>
        <v>0</v>
      </c>
      <c r="AH16" s="107">
        <f>H16*'TTS Design Calcs'!$C$326</f>
        <v>0</v>
      </c>
      <c r="AI16" s="302">
        <f>H16*'TTS Design Calcs'!$C$334</f>
        <v>0</v>
      </c>
      <c r="AJ16" s="304">
        <f>'TTS Design Calcs'!$C$381*H16</f>
        <v>0</v>
      </c>
      <c r="AK16" s="304">
        <f>'TTS Design Calcs'!$C$390*D16</f>
        <v>0</v>
      </c>
      <c r="AL16" s="305">
        <f t="shared" si="0"/>
        <v>0</v>
      </c>
      <c r="AM16" s="452"/>
      <c r="AN16" s="452"/>
      <c r="AO16" s="452"/>
    </row>
    <row r="17" spans="1:41" s="91" customFormat="1" ht="12.5" hidden="1" x14ac:dyDescent="0.25">
      <c r="A17" s="106">
        <v>7</v>
      </c>
      <c r="B17" s="292">
        <v>0</v>
      </c>
      <c r="C17" s="292">
        <v>0</v>
      </c>
      <c r="D17" s="292">
        <f t="shared" ref="D17:D47" si="5">K17+B17+E17</f>
        <v>0</v>
      </c>
      <c r="E17" s="292">
        <v>0</v>
      </c>
      <c r="F17" s="292">
        <v>0</v>
      </c>
      <c r="G17" s="292">
        <v>0</v>
      </c>
      <c r="H17" s="292">
        <v>0</v>
      </c>
      <c r="I17" s="292">
        <f t="shared" si="1"/>
        <v>0</v>
      </c>
      <c r="J17" s="292">
        <f t="shared" si="2"/>
        <v>0</v>
      </c>
      <c r="K17" s="292">
        <v>0</v>
      </c>
      <c r="L17" s="292">
        <f t="shared" ref="L17:L24" si="6">+B17+C17</f>
        <v>0</v>
      </c>
      <c r="M17" s="107"/>
      <c r="N17" s="292">
        <v>0</v>
      </c>
      <c r="O17" s="107">
        <v>0</v>
      </c>
      <c r="P17" s="107">
        <v>0</v>
      </c>
      <c r="Q17" s="292">
        <v>0</v>
      </c>
      <c r="R17" s="107">
        <f t="shared" si="4"/>
        <v>0</v>
      </c>
      <c r="S17" s="292">
        <v>0</v>
      </c>
      <c r="T17" s="107">
        <f>O17*'TTS Design Calcs'!$C$147*(J17+B17)*3.785*1440/454000</f>
        <v>0</v>
      </c>
      <c r="U17" s="107">
        <v>0</v>
      </c>
      <c r="V17" s="107">
        <f t="shared" ref="V17:V80" si="7">T17/0.5</f>
        <v>0</v>
      </c>
      <c r="W17" s="107">
        <f t="shared" ref="W17:W80" si="8">V17/100/27*365</f>
        <v>0</v>
      </c>
      <c r="X17" s="107">
        <f>O17*'TTS Design Calcs'!$C$224*('TTS Calculation Summary'!D17-J17)*3.785*1440/454000</f>
        <v>0</v>
      </c>
      <c r="Y17" s="107">
        <f t="shared" ref="Y17:Y80" si="9">X17*365/2000</f>
        <v>0</v>
      </c>
      <c r="Z17" s="107">
        <f>'TTS Design Calcs'!$C$269*('TTS Calculation Summary'!D17-'TTS Calculation Summary'!J17)/365</f>
        <v>0</v>
      </c>
      <c r="AA17" s="292">
        <v>0</v>
      </c>
      <c r="AB17" s="292">
        <v>0</v>
      </c>
      <c r="AC17" s="292">
        <v>0</v>
      </c>
      <c r="AD17" s="107">
        <f>H17*'TTS Design Calcs'!$C$343</f>
        <v>0</v>
      </c>
      <c r="AE17" s="107">
        <f>H17*'TTS Design Calcs'!$C$352</f>
        <v>0</v>
      </c>
      <c r="AF17" s="292">
        <f>H17*'TTS Design Calcs'!$C$309</f>
        <v>0</v>
      </c>
      <c r="AG17" s="292">
        <f>H17*'TTS Design Calcs'!$C$317</f>
        <v>0</v>
      </c>
      <c r="AH17" s="107">
        <f>H17*'TTS Design Calcs'!$C$326</f>
        <v>0</v>
      </c>
      <c r="AI17" s="302">
        <f>H17*'TTS Design Calcs'!$C$334</f>
        <v>0</v>
      </c>
      <c r="AJ17" s="304">
        <f>'TTS Design Calcs'!$C$381*H17</f>
        <v>0</v>
      </c>
      <c r="AK17" s="304">
        <f>'TTS Design Calcs'!$C$390*D17</f>
        <v>0</v>
      </c>
      <c r="AL17" s="305">
        <f t="shared" si="0"/>
        <v>0</v>
      </c>
      <c r="AM17" s="452"/>
      <c r="AN17" s="452"/>
      <c r="AO17" s="452"/>
    </row>
    <row r="18" spans="1:41" s="91" customFormat="1" ht="12.5" hidden="1" x14ac:dyDescent="0.25">
      <c r="A18" s="106">
        <v>8</v>
      </c>
      <c r="B18" s="292">
        <v>0</v>
      </c>
      <c r="C18" s="292">
        <v>0</v>
      </c>
      <c r="D18" s="292">
        <f t="shared" si="5"/>
        <v>0</v>
      </c>
      <c r="E18" s="292">
        <v>0</v>
      </c>
      <c r="F18" s="292">
        <v>0</v>
      </c>
      <c r="G18" s="292">
        <v>0</v>
      </c>
      <c r="H18" s="292">
        <v>0</v>
      </c>
      <c r="I18" s="292">
        <f t="shared" si="1"/>
        <v>0</v>
      </c>
      <c r="J18" s="292">
        <f t="shared" si="2"/>
        <v>0</v>
      </c>
      <c r="K18" s="292">
        <v>0</v>
      </c>
      <c r="L18" s="292">
        <f t="shared" si="6"/>
        <v>0</v>
      </c>
      <c r="M18" s="107"/>
      <c r="N18" s="292">
        <v>0</v>
      </c>
      <c r="O18" s="107">
        <v>0</v>
      </c>
      <c r="P18" s="107">
        <v>0</v>
      </c>
      <c r="Q18" s="292">
        <v>0</v>
      </c>
      <c r="R18" s="107">
        <f t="shared" si="4"/>
        <v>0</v>
      </c>
      <c r="S18" s="292">
        <v>0</v>
      </c>
      <c r="T18" s="107">
        <f>O18*'TTS Design Calcs'!$C$147*(J18+B18)*3.785*1440/454000</f>
        <v>0</v>
      </c>
      <c r="U18" s="107">
        <v>0</v>
      </c>
      <c r="V18" s="107">
        <f t="shared" si="7"/>
        <v>0</v>
      </c>
      <c r="W18" s="107">
        <f t="shared" si="8"/>
        <v>0</v>
      </c>
      <c r="X18" s="107">
        <f>O18*'TTS Design Calcs'!$C$224*('TTS Calculation Summary'!D18-J18)*3.785*1440/454000</f>
        <v>0</v>
      </c>
      <c r="Y18" s="107">
        <f t="shared" si="9"/>
        <v>0</v>
      </c>
      <c r="Z18" s="107">
        <f>'TTS Design Calcs'!$C$269*('TTS Calculation Summary'!D18-'TTS Calculation Summary'!J18)/365</f>
        <v>0</v>
      </c>
      <c r="AA18" s="292">
        <v>0</v>
      </c>
      <c r="AB18" s="292">
        <v>0</v>
      </c>
      <c r="AC18" s="292">
        <v>0</v>
      </c>
      <c r="AD18" s="107">
        <f>H18*'TTS Design Calcs'!$C$343</f>
        <v>0</v>
      </c>
      <c r="AE18" s="107">
        <f>H18*'TTS Design Calcs'!$C$352</f>
        <v>0</v>
      </c>
      <c r="AF18" s="292">
        <f>H18*'TTS Design Calcs'!$C$309</f>
        <v>0</v>
      </c>
      <c r="AG18" s="292">
        <f>H18*'TTS Design Calcs'!$C$317</f>
        <v>0</v>
      </c>
      <c r="AH18" s="107">
        <f>H18*'TTS Design Calcs'!$C$326</f>
        <v>0</v>
      </c>
      <c r="AI18" s="302">
        <f>H18*'TTS Design Calcs'!$C$334</f>
        <v>0</v>
      </c>
      <c r="AJ18" s="304">
        <f>'TTS Design Calcs'!$C$381*H18</f>
        <v>0</v>
      </c>
      <c r="AK18" s="304">
        <f>'TTS Design Calcs'!$C$390*D18</f>
        <v>0</v>
      </c>
      <c r="AL18" s="305">
        <f t="shared" si="0"/>
        <v>0</v>
      </c>
      <c r="AM18" s="452"/>
      <c r="AN18" s="452"/>
      <c r="AO18" s="452"/>
    </row>
    <row r="19" spans="1:41" s="91" customFormat="1" ht="12.5" hidden="1" x14ac:dyDescent="0.25">
      <c r="A19" s="106">
        <v>9</v>
      </c>
      <c r="B19" s="292">
        <v>0</v>
      </c>
      <c r="C19" s="292">
        <v>0</v>
      </c>
      <c r="D19" s="292">
        <f t="shared" si="5"/>
        <v>0</v>
      </c>
      <c r="E19" s="292">
        <v>0</v>
      </c>
      <c r="F19" s="292">
        <v>0</v>
      </c>
      <c r="G19" s="292">
        <v>0</v>
      </c>
      <c r="H19" s="292">
        <v>0</v>
      </c>
      <c r="I19" s="292">
        <f t="shared" si="1"/>
        <v>0</v>
      </c>
      <c r="J19" s="292">
        <f t="shared" si="2"/>
        <v>0</v>
      </c>
      <c r="K19" s="292">
        <v>0</v>
      </c>
      <c r="L19" s="292">
        <f t="shared" si="6"/>
        <v>0</v>
      </c>
      <c r="M19" s="107"/>
      <c r="N19" s="292">
        <v>0</v>
      </c>
      <c r="O19" s="107">
        <v>0</v>
      </c>
      <c r="P19" s="107">
        <v>0</v>
      </c>
      <c r="Q19" s="292">
        <v>0</v>
      </c>
      <c r="R19" s="107">
        <f t="shared" si="4"/>
        <v>0</v>
      </c>
      <c r="S19" s="292">
        <v>0</v>
      </c>
      <c r="T19" s="107">
        <f>O19*'TTS Design Calcs'!$C$147*(J19+B19)*3.785*1440/454000</f>
        <v>0</v>
      </c>
      <c r="U19" s="107">
        <v>0</v>
      </c>
      <c r="V19" s="107">
        <f t="shared" si="7"/>
        <v>0</v>
      </c>
      <c r="W19" s="107">
        <f t="shared" si="8"/>
        <v>0</v>
      </c>
      <c r="X19" s="107">
        <f>O19*'TTS Design Calcs'!$C$224*('TTS Calculation Summary'!D19-J19)*3.785*1440/454000</f>
        <v>0</v>
      </c>
      <c r="Y19" s="107">
        <f t="shared" si="9"/>
        <v>0</v>
      </c>
      <c r="Z19" s="107">
        <f>'TTS Design Calcs'!$C$269*('TTS Calculation Summary'!D19-'TTS Calculation Summary'!J19)/365</f>
        <v>0</v>
      </c>
      <c r="AA19" s="292">
        <v>0</v>
      </c>
      <c r="AB19" s="292">
        <v>0</v>
      </c>
      <c r="AC19" s="292">
        <v>0</v>
      </c>
      <c r="AD19" s="107">
        <f>H19*'TTS Design Calcs'!$C$343</f>
        <v>0</v>
      </c>
      <c r="AE19" s="107">
        <f>H19*'TTS Design Calcs'!$C$352</f>
        <v>0</v>
      </c>
      <c r="AF19" s="292">
        <f>H19*'TTS Design Calcs'!$C$309</f>
        <v>0</v>
      </c>
      <c r="AG19" s="292">
        <f>H19*'TTS Design Calcs'!$C$317</f>
        <v>0</v>
      </c>
      <c r="AH19" s="107">
        <f>H19*'TTS Design Calcs'!$C$326</f>
        <v>0</v>
      </c>
      <c r="AI19" s="302">
        <f>H19*'TTS Design Calcs'!$C$334</f>
        <v>0</v>
      </c>
      <c r="AJ19" s="304">
        <f>'TTS Design Calcs'!$C$381*H19</f>
        <v>0</v>
      </c>
      <c r="AK19" s="304">
        <f>'TTS Design Calcs'!$C$390*D19</f>
        <v>0</v>
      </c>
      <c r="AL19" s="305">
        <f t="shared" si="0"/>
        <v>0</v>
      </c>
      <c r="AM19" s="452"/>
      <c r="AN19" s="452"/>
      <c r="AO19" s="452"/>
    </row>
    <row r="20" spans="1:41" s="91" customFormat="1" ht="12.5" hidden="1" x14ac:dyDescent="0.25">
      <c r="A20" s="106">
        <v>10</v>
      </c>
      <c r="B20" s="292">
        <v>0</v>
      </c>
      <c r="C20" s="292">
        <v>0</v>
      </c>
      <c r="D20" s="292">
        <f t="shared" si="5"/>
        <v>0</v>
      </c>
      <c r="E20" s="292">
        <v>0</v>
      </c>
      <c r="F20" s="292">
        <v>0</v>
      </c>
      <c r="G20" s="292">
        <v>0</v>
      </c>
      <c r="H20" s="292">
        <v>0</v>
      </c>
      <c r="I20" s="292">
        <f t="shared" si="1"/>
        <v>0</v>
      </c>
      <c r="J20" s="292">
        <f t="shared" si="2"/>
        <v>0</v>
      </c>
      <c r="K20" s="292">
        <v>0</v>
      </c>
      <c r="L20" s="292">
        <f t="shared" si="6"/>
        <v>0</v>
      </c>
      <c r="M20" s="107"/>
      <c r="N20" s="292">
        <v>0</v>
      </c>
      <c r="O20" s="107">
        <v>0</v>
      </c>
      <c r="P20" s="107">
        <v>0</v>
      </c>
      <c r="Q20" s="292">
        <v>0</v>
      </c>
      <c r="R20" s="107">
        <f t="shared" si="4"/>
        <v>0</v>
      </c>
      <c r="S20" s="292">
        <v>0</v>
      </c>
      <c r="T20" s="107">
        <f>O20*'TTS Design Calcs'!$C$147*(J20+B20)*3.785*1440/454000</f>
        <v>0</v>
      </c>
      <c r="U20" s="107">
        <v>0</v>
      </c>
      <c r="V20" s="107">
        <f t="shared" si="7"/>
        <v>0</v>
      </c>
      <c r="W20" s="107">
        <f t="shared" si="8"/>
        <v>0</v>
      </c>
      <c r="X20" s="107">
        <f>O20*'TTS Design Calcs'!$C$224*('TTS Calculation Summary'!D20-J20)*3.785*1440/454000</f>
        <v>0</v>
      </c>
      <c r="Y20" s="107">
        <f t="shared" si="9"/>
        <v>0</v>
      </c>
      <c r="Z20" s="107">
        <f>'TTS Design Calcs'!$C$269*('TTS Calculation Summary'!D20-'TTS Calculation Summary'!J20)/365</f>
        <v>0</v>
      </c>
      <c r="AA20" s="292">
        <v>0</v>
      </c>
      <c r="AB20" s="292">
        <v>0</v>
      </c>
      <c r="AC20" s="292">
        <v>0</v>
      </c>
      <c r="AD20" s="107">
        <f>H20*'TTS Design Calcs'!$C$343</f>
        <v>0</v>
      </c>
      <c r="AE20" s="107">
        <f>H20*'TTS Design Calcs'!$C$352</f>
        <v>0</v>
      </c>
      <c r="AF20" s="292">
        <f>H20*'TTS Design Calcs'!$C$309</f>
        <v>0</v>
      </c>
      <c r="AG20" s="292">
        <f>H20*'TTS Design Calcs'!$C$317</f>
        <v>0</v>
      </c>
      <c r="AH20" s="107">
        <f>H20*'TTS Design Calcs'!$C$326</f>
        <v>0</v>
      </c>
      <c r="AI20" s="302">
        <f>H20*'TTS Design Calcs'!$C$334</f>
        <v>0</v>
      </c>
      <c r="AJ20" s="304">
        <f>'TTS Design Calcs'!$C$381*H20</f>
        <v>0</v>
      </c>
      <c r="AK20" s="304">
        <f>'TTS Design Calcs'!$C$390*D20</f>
        <v>0</v>
      </c>
      <c r="AL20" s="305">
        <f t="shared" si="0"/>
        <v>0</v>
      </c>
      <c r="AM20" s="452"/>
      <c r="AN20" s="452"/>
      <c r="AO20" s="452"/>
    </row>
    <row r="21" spans="1:41" s="91" customFormat="1" ht="12.5" hidden="1" x14ac:dyDescent="0.25">
      <c r="A21" s="106">
        <v>11</v>
      </c>
      <c r="B21" s="292">
        <v>0</v>
      </c>
      <c r="C21" s="292">
        <v>0</v>
      </c>
      <c r="D21" s="292">
        <f t="shared" si="5"/>
        <v>0</v>
      </c>
      <c r="E21" s="292">
        <v>0</v>
      </c>
      <c r="F21" s="292">
        <v>0</v>
      </c>
      <c r="G21" s="292">
        <v>0</v>
      </c>
      <c r="H21" s="292">
        <v>0</v>
      </c>
      <c r="I21" s="292">
        <f t="shared" si="1"/>
        <v>0</v>
      </c>
      <c r="J21" s="292">
        <f t="shared" si="2"/>
        <v>0</v>
      </c>
      <c r="K21" s="292">
        <v>0</v>
      </c>
      <c r="L21" s="292">
        <f t="shared" si="6"/>
        <v>0</v>
      </c>
      <c r="M21" s="107"/>
      <c r="N21" s="292">
        <v>0</v>
      </c>
      <c r="O21" s="107">
        <v>0</v>
      </c>
      <c r="P21" s="107">
        <v>0</v>
      </c>
      <c r="Q21" s="292">
        <v>0</v>
      </c>
      <c r="R21" s="107">
        <f t="shared" si="4"/>
        <v>0</v>
      </c>
      <c r="S21" s="292">
        <v>0</v>
      </c>
      <c r="T21" s="107">
        <f>O21*'TTS Design Calcs'!$C$147*(J21+B21)*3.785*1440/454000</f>
        <v>0</v>
      </c>
      <c r="U21" s="107">
        <v>0</v>
      </c>
      <c r="V21" s="107">
        <f t="shared" si="7"/>
        <v>0</v>
      </c>
      <c r="W21" s="107">
        <f t="shared" si="8"/>
        <v>0</v>
      </c>
      <c r="X21" s="107">
        <f>O21*'TTS Design Calcs'!$C$224*('TTS Calculation Summary'!D21-J21)*3.785*1440/454000</f>
        <v>0</v>
      </c>
      <c r="Y21" s="107">
        <f t="shared" si="9"/>
        <v>0</v>
      </c>
      <c r="Z21" s="107">
        <f>'TTS Design Calcs'!$C$269*('TTS Calculation Summary'!D21-'TTS Calculation Summary'!J21)/365</f>
        <v>0</v>
      </c>
      <c r="AA21" s="292">
        <v>0</v>
      </c>
      <c r="AB21" s="292">
        <v>0</v>
      </c>
      <c r="AC21" s="292">
        <v>0</v>
      </c>
      <c r="AD21" s="107">
        <f>H21*'TTS Design Calcs'!$C$343</f>
        <v>0</v>
      </c>
      <c r="AE21" s="107">
        <f>H21*'TTS Design Calcs'!$C$352</f>
        <v>0</v>
      </c>
      <c r="AF21" s="292">
        <f>H21*'TTS Design Calcs'!$C$309</f>
        <v>0</v>
      </c>
      <c r="AG21" s="292">
        <f>H21*'TTS Design Calcs'!$C$317</f>
        <v>0</v>
      </c>
      <c r="AH21" s="107">
        <f>H21*'TTS Design Calcs'!$C$326</f>
        <v>0</v>
      </c>
      <c r="AI21" s="302">
        <f>H21*'TTS Design Calcs'!$C$334</f>
        <v>0</v>
      </c>
      <c r="AJ21" s="304">
        <f>'TTS Design Calcs'!$C$381*H21</f>
        <v>0</v>
      </c>
      <c r="AK21" s="304">
        <f>'TTS Design Calcs'!$C$390*D21</f>
        <v>0</v>
      </c>
      <c r="AL21" s="305">
        <f t="shared" si="0"/>
        <v>0</v>
      </c>
      <c r="AM21" s="452"/>
      <c r="AN21" s="452"/>
      <c r="AO21" s="452"/>
    </row>
    <row r="22" spans="1:41" s="91" customFormat="1" ht="12.5" hidden="1" x14ac:dyDescent="0.25">
      <c r="A22" s="106">
        <v>12</v>
      </c>
      <c r="B22" s="292">
        <v>0</v>
      </c>
      <c r="C22" s="292">
        <v>0</v>
      </c>
      <c r="D22" s="292">
        <f t="shared" si="5"/>
        <v>0</v>
      </c>
      <c r="E22" s="292">
        <v>0</v>
      </c>
      <c r="F22" s="292">
        <v>0</v>
      </c>
      <c r="G22" s="292">
        <v>0</v>
      </c>
      <c r="H22" s="292">
        <v>0</v>
      </c>
      <c r="I22" s="292">
        <f t="shared" si="1"/>
        <v>0</v>
      </c>
      <c r="J22" s="292">
        <f t="shared" si="2"/>
        <v>0</v>
      </c>
      <c r="K22" s="292">
        <v>0</v>
      </c>
      <c r="L22" s="292">
        <f t="shared" si="6"/>
        <v>0</v>
      </c>
      <c r="M22" s="107"/>
      <c r="N22" s="292">
        <v>0</v>
      </c>
      <c r="O22" s="107">
        <v>0</v>
      </c>
      <c r="P22" s="107">
        <v>0</v>
      </c>
      <c r="Q22" s="292">
        <v>0</v>
      </c>
      <c r="R22" s="107">
        <f t="shared" si="4"/>
        <v>0</v>
      </c>
      <c r="S22" s="292">
        <v>0</v>
      </c>
      <c r="T22" s="107">
        <f>O22*'TTS Design Calcs'!$C$147*(J22+B22)*3.785*1440/454000</f>
        <v>0</v>
      </c>
      <c r="U22" s="107">
        <v>0</v>
      </c>
      <c r="V22" s="107">
        <f t="shared" si="7"/>
        <v>0</v>
      </c>
      <c r="W22" s="107">
        <f t="shared" si="8"/>
        <v>0</v>
      </c>
      <c r="X22" s="107">
        <f>O22*'TTS Design Calcs'!$C$224*('TTS Calculation Summary'!D22-J22)*3.785*1440/454000</f>
        <v>0</v>
      </c>
      <c r="Y22" s="107">
        <f t="shared" si="9"/>
        <v>0</v>
      </c>
      <c r="Z22" s="107">
        <f>'TTS Design Calcs'!$C$269*('TTS Calculation Summary'!D22-'TTS Calculation Summary'!J22)/365</f>
        <v>0</v>
      </c>
      <c r="AA22" s="292">
        <v>0</v>
      </c>
      <c r="AB22" s="292">
        <v>0</v>
      </c>
      <c r="AC22" s="292">
        <v>0</v>
      </c>
      <c r="AD22" s="107">
        <f>H22*'TTS Design Calcs'!$C$343</f>
        <v>0</v>
      </c>
      <c r="AE22" s="107">
        <f>H22*'TTS Design Calcs'!$C$352</f>
        <v>0</v>
      </c>
      <c r="AF22" s="292">
        <f>H22*'TTS Design Calcs'!$C$309</f>
        <v>0</v>
      </c>
      <c r="AG22" s="292">
        <f>H22*'TTS Design Calcs'!$C$317</f>
        <v>0</v>
      </c>
      <c r="AH22" s="107">
        <f>H22*'TTS Design Calcs'!$C$326</f>
        <v>0</v>
      </c>
      <c r="AI22" s="302">
        <f>H22*'TTS Design Calcs'!$C$334</f>
        <v>0</v>
      </c>
      <c r="AJ22" s="304">
        <f>'TTS Design Calcs'!$C$381*H22</f>
        <v>0</v>
      </c>
      <c r="AK22" s="304">
        <f>'TTS Design Calcs'!$C$390*D22</f>
        <v>0</v>
      </c>
      <c r="AL22" s="305">
        <f t="shared" si="0"/>
        <v>0</v>
      </c>
      <c r="AM22" s="452"/>
      <c r="AN22" s="452"/>
      <c r="AO22" s="452"/>
    </row>
    <row r="23" spans="1:41" s="91" customFormat="1" ht="12.5" hidden="1" x14ac:dyDescent="0.25">
      <c r="A23" s="106">
        <v>13</v>
      </c>
      <c r="B23" s="292">
        <v>0</v>
      </c>
      <c r="C23" s="292">
        <v>0</v>
      </c>
      <c r="D23" s="292">
        <f t="shared" si="5"/>
        <v>0</v>
      </c>
      <c r="E23" s="292">
        <v>0</v>
      </c>
      <c r="F23" s="292">
        <v>0</v>
      </c>
      <c r="G23" s="292">
        <v>0</v>
      </c>
      <c r="H23" s="292">
        <v>0</v>
      </c>
      <c r="I23" s="292">
        <f t="shared" si="1"/>
        <v>0</v>
      </c>
      <c r="J23" s="292">
        <f t="shared" si="2"/>
        <v>0</v>
      </c>
      <c r="K23" s="292">
        <v>0</v>
      </c>
      <c r="L23" s="292">
        <f t="shared" si="6"/>
        <v>0</v>
      </c>
      <c r="M23" s="107"/>
      <c r="N23" s="292">
        <v>0</v>
      </c>
      <c r="O23" s="107">
        <v>0</v>
      </c>
      <c r="P23" s="107">
        <v>0</v>
      </c>
      <c r="Q23" s="292">
        <v>0</v>
      </c>
      <c r="R23" s="107">
        <f t="shared" si="4"/>
        <v>0</v>
      </c>
      <c r="S23" s="292">
        <v>0</v>
      </c>
      <c r="T23" s="107">
        <f>O23*'TTS Design Calcs'!$C$147*(J23+B23)*3.785*1440/454000</f>
        <v>0</v>
      </c>
      <c r="U23" s="107">
        <v>0</v>
      </c>
      <c r="V23" s="107">
        <f t="shared" si="7"/>
        <v>0</v>
      </c>
      <c r="W23" s="107">
        <f t="shared" si="8"/>
        <v>0</v>
      </c>
      <c r="X23" s="107">
        <f>O23*'TTS Design Calcs'!$C$224*('TTS Calculation Summary'!D23-J23)*3.785*1440/454000</f>
        <v>0</v>
      </c>
      <c r="Y23" s="107">
        <f t="shared" si="9"/>
        <v>0</v>
      </c>
      <c r="Z23" s="107">
        <f>'TTS Design Calcs'!$C$269*('TTS Calculation Summary'!D23-'TTS Calculation Summary'!J23)/365</f>
        <v>0</v>
      </c>
      <c r="AA23" s="292">
        <v>0</v>
      </c>
      <c r="AB23" s="292">
        <v>0</v>
      </c>
      <c r="AC23" s="292">
        <v>0</v>
      </c>
      <c r="AD23" s="107">
        <f>H23*'TTS Design Calcs'!$C$343</f>
        <v>0</v>
      </c>
      <c r="AE23" s="107">
        <f>H23*'TTS Design Calcs'!$C$352</f>
        <v>0</v>
      </c>
      <c r="AF23" s="292">
        <f>H23*'TTS Design Calcs'!$C$309</f>
        <v>0</v>
      </c>
      <c r="AG23" s="292">
        <f>H23*'TTS Design Calcs'!$C$317</f>
        <v>0</v>
      </c>
      <c r="AH23" s="107">
        <f>H23*'TTS Design Calcs'!$C$326</f>
        <v>0</v>
      </c>
      <c r="AI23" s="302">
        <f>H23*'TTS Design Calcs'!$C$334</f>
        <v>0</v>
      </c>
      <c r="AJ23" s="304">
        <f>'TTS Design Calcs'!$C$381*H23</f>
        <v>0</v>
      </c>
      <c r="AK23" s="304">
        <f>'TTS Design Calcs'!$C$390*D23</f>
        <v>0</v>
      </c>
      <c r="AL23" s="305">
        <f t="shared" si="0"/>
        <v>0</v>
      </c>
      <c r="AM23" s="452"/>
      <c r="AN23" s="452"/>
      <c r="AO23" s="452"/>
    </row>
    <row r="24" spans="1:41" s="91" customFormat="1" ht="12.5" hidden="1" x14ac:dyDescent="0.25">
      <c r="A24" s="106">
        <v>14</v>
      </c>
      <c r="B24" s="292">
        <v>0</v>
      </c>
      <c r="C24" s="292">
        <v>0</v>
      </c>
      <c r="D24" s="292">
        <f t="shared" si="5"/>
        <v>0</v>
      </c>
      <c r="E24" s="292">
        <v>0</v>
      </c>
      <c r="F24" s="292">
        <v>0</v>
      </c>
      <c r="G24" s="292">
        <v>0</v>
      </c>
      <c r="H24" s="292">
        <v>0</v>
      </c>
      <c r="I24" s="292">
        <f t="shared" si="1"/>
        <v>0</v>
      </c>
      <c r="J24" s="292">
        <f t="shared" si="2"/>
        <v>0</v>
      </c>
      <c r="K24" s="292">
        <v>0</v>
      </c>
      <c r="L24" s="292">
        <f t="shared" si="6"/>
        <v>0</v>
      </c>
      <c r="M24" s="107" t="s">
        <v>0</v>
      </c>
      <c r="N24" s="292">
        <v>0</v>
      </c>
      <c r="O24" s="107">
        <v>0</v>
      </c>
      <c r="P24" s="107">
        <v>0</v>
      </c>
      <c r="Q24" s="292">
        <v>0</v>
      </c>
      <c r="R24" s="107">
        <f t="shared" si="4"/>
        <v>0</v>
      </c>
      <c r="S24" s="292">
        <v>0</v>
      </c>
      <c r="T24" s="107">
        <f>O24*'TTS Design Calcs'!$C$147*(J24+B24)*3.785*1440/454000</f>
        <v>0</v>
      </c>
      <c r="U24" s="107">
        <v>0</v>
      </c>
      <c r="V24" s="107">
        <f t="shared" si="7"/>
        <v>0</v>
      </c>
      <c r="W24" s="107">
        <f t="shared" si="8"/>
        <v>0</v>
      </c>
      <c r="X24" s="107">
        <f>O24*'TTS Design Calcs'!$C$224*('TTS Calculation Summary'!D24-J24)*3.785*1440/454000</f>
        <v>0</v>
      </c>
      <c r="Y24" s="107">
        <f t="shared" si="9"/>
        <v>0</v>
      </c>
      <c r="Z24" s="107">
        <f>'TTS Design Calcs'!$C$269*('TTS Calculation Summary'!D24-'TTS Calculation Summary'!J24)/365</f>
        <v>0</v>
      </c>
      <c r="AA24" s="292">
        <v>0</v>
      </c>
      <c r="AB24" s="292">
        <v>0</v>
      </c>
      <c r="AC24" s="292">
        <v>0</v>
      </c>
      <c r="AD24" s="107">
        <f>H24*'TTS Design Calcs'!$C$343</f>
        <v>0</v>
      </c>
      <c r="AE24" s="107">
        <f>H24*'TTS Design Calcs'!$C$352</f>
        <v>0</v>
      </c>
      <c r="AF24" s="292">
        <f>H24*'TTS Design Calcs'!$C$309</f>
        <v>0</v>
      </c>
      <c r="AG24" s="292">
        <f>H24*'TTS Design Calcs'!$C$317</f>
        <v>0</v>
      </c>
      <c r="AH24" s="107">
        <f>H24*'TTS Design Calcs'!$C$326</f>
        <v>0</v>
      </c>
      <c r="AI24" s="302">
        <f>H24*'TTS Design Calcs'!$C$334</f>
        <v>0</v>
      </c>
      <c r="AJ24" s="304">
        <f>'TTS Design Calcs'!$C$381*H24</f>
        <v>0</v>
      </c>
      <c r="AK24" s="304">
        <f>'TTS Design Calcs'!$C$390*D24</f>
        <v>0</v>
      </c>
      <c r="AL24" s="305">
        <f t="shared" si="0"/>
        <v>0</v>
      </c>
      <c r="AM24" s="452"/>
      <c r="AN24" s="452"/>
      <c r="AO24" s="452"/>
    </row>
    <row r="25" spans="1:41" s="91" customFormat="1" ht="12.5" x14ac:dyDescent="0.25">
      <c r="A25" s="106">
        <v>15</v>
      </c>
      <c r="B25" s="292">
        <v>1189.0939516067092</v>
      </c>
      <c r="C25" s="292">
        <f t="shared" ref="C25:C56" si="10">B25-$A$121</f>
        <v>889.0939516067092</v>
      </c>
      <c r="D25" s="292">
        <f>K25+B25+E25</f>
        <v>1285.2424918786819</v>
      </c>
      <c r="E25" s="292">
        <f>3*U25/'TTS Design Calcs'!$I$97/'TTS Design Calcs'!$L$97/'TTS Design Calcs'!$O$97/'TTS Design Calcs'!$R$97</f>
        <v>96.148540271972749</v>
      </c>
      <c r="F25" s="292">
        <f t="shared" ref="F25:F56" si="11">D25*(1-$A$118)</f>
        <v>925.37459415265096</v>
      </c>
      <c r="G25" s="292">
        <f t="shared" ref="G25:G56" si="12">D25*$A$118</f>
        <v>359.86789772603095</v>
      </c>
      <c r="H25" s="292">
        <f>D25-G25</f>
        <v>925.37459415265096</v>
      </c>
      <c r="I25" s="292">
        <f t="shared" si="1"/>
        <v>721.7921834390678</v>
      </c>
      <c r="J25" s="292">
        <f t="shared" si="2"/>
        <v>203.58241071358316</v>
      </c>
      <c r="K25" s="292">
        <v>0</v>
      </c>
      <c r="L25" s="292">
        <f t="shared" ref="L25:L56" si="13">+G25+I25</f>
        <v>1081.6600811650987</v>
      </c>
      <c r="M25" s="411">
        <v>2811.4486240944821</v>
      </c>
      <c r="N25" s="292">
        <v>479</v>
      </c>
      <c r="O25" s="107">
        <f>(K25*R25+M25*B25+E25*Q25)/(K25+B25+E25)</f>
        <v>2788.1492617051895</v>
      </c>
      <c r="P25" s="411">
        <v>1600</v>
      </c>
      <c r="Q25" s="107">
        <v>2500</v>
      </c>
      <c r="R25" s="107">
        <f t="shared" ref="R25:R56" si="14">P25*$A$120</f>
        <v>7272.727272727273</v>
      </c>
      <c r="S25" s="292">
        <f t="shared" ref="S25:S56" si="15">(G25*P25+I25*20)/(G25+I25)</f>
        <v>545.66539923954372</v>
      </c>
      <c r="T25" s="107">
        <f>O25*'TTS Design Calcs'!$C$147*D25*3.785*1440/454000</f>
        <v>89982.737260596492</v>
      </c>
      <c r="U25" s="107">
        <v>114508.29633398648</v>
      </c>
      <c r="V25" s="107">
        <f t="shared" si="7"/>
        <v>179965.47452119298</v>
      </c>
      <c r="W25" s="107">
        <f t="shared" si="8"/>
        <v>24328.6660000872</v>
      </c>
      <c r="X25" s="107">
        <f>O25*'TTS Design Calcs'!$C$224*D25*3.785*1440/454000</f>
        <v>22581.382160159214</v>
      </c>
      <c r="Y25" s="107">
        <f t="shared" si="9"/>
        <v>4121.1022442290569</v>
      </c>
      <c r="Z25" s="107">
        <f>'TTS Design Calcs'!$C$269*(D25)/365</f>
        <v>154.43310577018448</v>
      </c>
      <c r="AA25" s="306">
        <f t="shared" ref="AA25:AA80" si="16">Z25*365/2000</f>
        <v>28.184041803058669</v>
      </c>
      <c r="AB25" s="293">
        <f>(L25-$A$121)*1440*'TTS Design Calcs'!$C$284</f>
        <v>62.402738255702033</v>
      </c>
      <c r="AC25" s="293">
        <f t="shared" ref="AC25:AC80" si="17">AB25*365/2000</f>
        <v>11.38849973166562</v>
      </c>
      <c r="AD25" s="107">
        <f>H25*'TTS Design Calcs'!$C$343</f>
        <v>12175.506058921343</v>
      </c>
      <c r="AE25" s="107">
        <f>H25*'TTS Design Calcs'!$C$352</f>
        <v>4058.5020196404485</v>
      </c>
      <c r="AF25" s="292">
        <f>H25*'TTS Design Calcs'!$C$309</f>
        <v>4228.2500686667281</v>
      </c>
      <c r="AG25" s="292">
        <f>H25*'TTS Design Calcs'!$C$317</f>
        <v>4228.2500686667281</v>
      </c>
      <c r="AH25" s="107">
        <f>H25*'TTS Design Calcs'!$C$326</f>
        <v>704.70834477778794</v>
      </c>
      <c r="AI25" s="302">
        <f>H25*'TTS Design Calcs'!$C$334</f>
        <v>704.70834477778794</v>
      </c>
      <c r="AJ25" s="304">
        <f>'TTS Design Calcs'!$C$381*H25</f>
        <v>1220595.534045941</v>
      </c>
      <c r="AK25" s="304">
        <f>'TTS Design Calcs'!$C$390*D25</f>
        <v>353167.45087516756</v>
      </c>
      <c r="AL25" s="305">
        <f t="shared" si="0"/>
        <v>1573762.9849211085</v>
      </c>
      <c r="AM25" s="452"/>
      <c r="AN25" s="452"/>
      <c r="AO25" s="452">
        <f t="shared" ref="AO25:AO75" si="18">V25*365/2000</f>
        <v>32843.699100117723</v>
      </c>
    </row>
    <row r="26" spans="1:41" s="91" customFormat="1" ht="12.5" x14ac:dyDescent="0.25">
      <c r="A26" s="106">
        <v>16</v>
      </c>
      <c r="B26" s="292">
        <v>1180.2107084472934</v>
      </c>
      <c r="C26" s="292">
        <f t="shared" si="10"/>
        <v>880.21070844729343</v>
      </c>
      <c r="D26" s="292">
        <f t="shared" si="5"/>
        <v>1275.4924053872289</v>
      </c>
      <c r="E26" s="292">
        <f>3*U26/'TTS Design Calcs'!$I$97/'TTS Design Calcs'!$L$97/'TTS Design Calcs'!$O$97/'TTS Design Calcs'!$R$97</f>
        <v>95.281696939935401</v>
      </c>
      <c r="F26" s="292">
        <f t="shared" si="11"/>
        <v>918.35453187880478</v>
      </c>
      <c r="G26" s="292">
        <f t="shared" si="12"/>
        <v>357.13787350842415</v>
      </c>
      <c r="H26" s="292">
        <f t="shared" ref="H26:H89" si="19">D26-G26</f>
        <v>918.35453187880478</v>
      </c>
      <c r="I26" s="292">
        <f t="shared" si="1"/>
        <v>716.3165348654677</v>
      </c>
      <c r="J26" s="292">
        <f t="shared" si="2"/>
        <v>202.03799701333708</v>
      </c>
      <c r="K26" s="292">
        <v>0</v>
      </c>
      <c r="L26" s="292">
        <f t="shared" si="13"/>
        <v>1073.454408373892</v>
      </c>
      <c r="M26" s="107">
        <v>2800.4301309211132</v>
      </c>
      <c r="N26" s="292">
        <v>479</v>
      </c>
      <c r="O26" s="107">
        <f t="shared" ref="O26:O89" si="20">(K26*R26+M26*B26+E26*Q26)/(K26+B26+E26)</f>
        <v>2777.9874314858621</v>
      </c>
      <c r="P26" s="411">
        <v>1600</v>
      </c>
      <c r="Q26" s="107">
        <v>2500</v>
      </c>
      <c r="R26" s="107">
        <f t="shared" si="14"/>
        <v>7272.727272727273</v>
      </c>
      <c r="S26" s="292">
        <f t="shared" si="15"/>
        <v>545.66539923954372</v>
      </c>
      <c r="T26" s="107">
        <f>O26*'TTS Design Calcs'!$C$147*D26*3.785*1440/454000</f>
        <v>88974.643910165658</v>
      </c>
      <c r="U26" s="107">
        <v>113475.92753400993</v>
      </c>
      <c r="V26" s="107">
        <f t="shared" si="7"/>
        <v>177949.28782033132</v>
      </c>
      <c r="W26" s="107">
        <f t="shared" si="8"/>
        <v>24056.107427563307</v>
      </c>
      <c r="X26" s="107">
        <f>O26*'TTS Design Calcs'!$C$224*D26*3.785*1440/454000</f>
        <v>22328.398733646343</v>
      </c>
      <c r="Y26" s="107">
        <f t="shared" si="9"/>
        <v>4074.9327688904577</v>
      </c>
      <c r="Z26" s="107">
        <f>'TTS Design Calcs'!$C$269*(D26)/365</f>
        <v>153.26154775843372</v>
      </c>
      <c r="AA26" s="306">
        <f t="shared" si="16"/>
        <v>27.970232465914155</v>
      </c>
      <c r="AB26" s="293">
        <f>(L26-$A$121)*1440*'TTS Design Calcs'!$C$284</f>
        <v>61.747649856357945</v>
      </c>
      <c r="AC26" s="293">
        <f t="shared" si="17"/>
        <v>11.268946098785324</v>
      </c>
      <c r="AD26" s="107">
        <f>H26*'TTS Design Calcs'!$C$343</f>
        <v>12083.140425274911</v>
      </c>
      <c r="AE26" s="107">
        <f>H26*'TTS Design Calcs'!$C$352</f>
        <v>4027.713475091638</v>
      </c>
      <c r="AF26" s="292">
        <f>H26*'TTS Design Calcs'!$C$309</f>
        <v>4196.1737841231543</v>
      </c>
      <c r="AG26" s="292">
        <f>H26*'TTS Design Calcs'!$C$317</f>
        <v>4196.1737841231543</v>
      </c>
      <c r="AH26" s="107">
        <f>H26*'TTS Design Calcs'!$C$326</f>
        <v>699.36229735385893</v>
      </c>
      <c r="AI26" s="302">
        <f>H26*'TTS Design Calcs'!$C$334</f>
        <v>699.36229735385893</v>
      </c>
      <c r="AJ26" s="304">
        <f>'TTS Design Calcs'!$C$381*H26</f>
        <v>1211335.8712949583</v>
      </c>
      <c r="AK26" s="304">
        <f>'TTS Design Calcs'!$C$390*D26</f>
        <v>350488.25748266972</v>
      </c>
      <c r="AL26" s="305">
        <f t="shared" si="0"/>
        <v>1561824.1287776281</v>
      </c>
      <c r="AM26" s="452"/>
      <c r="AN26" s="452"/>
      <c r="AO26" s="452">
        <f t="shared" si="18"/>
        <v>32475.745027210465</v>
      </c>
    </row>
    <row r="27" spans="1:41" s="91" customFormat="1" ht="12.5" x14ac:dyDescent="0.25">
      <c r="A27" s="106">
        <v>17</v>
      </c>
      <c r="B27" s="292">
        <v>1171.392149218565</v>
      </c>
      <c r="C27" s="292">
        <f t="shared" si="10"/>
        <v>871.39214921856501</v>
      </c>
      <c r="D27" s="292">
        <f t="shared" si="5"/>
        <v>1265.8152112104924</v>
      </c>
      <c r="E27" s="292">
        <f>3*U27/'TTS Design Calcs'!$I$97/'TTS Design Calcs'!$L$97/'TTS Design Calcs'!$O$97/'TTS Design Calcs'!$R$97</f>
        <v>94.423061991927355</v>
      </c>
      <c r="F27" s="292">
        <f t="shared" si="11"/>
        <v>911.38695207155445</v>
      </c>
      <c r="G27" s="292">
        <f t="shared" si="12"/>
        <v>354.4282591389379</v>
      </c>
      <c r="H27" s="292">
        <f t="shared" si="19"/>
        <v>911.38695207155456</v>
      </c>
      <c r="I27" s="292">
        <f t="shared" si="1"/>
        <v>710.88182261581255</v>
      </c>
      <c r="J27" s="292">
        <f t="shared" si="2"/>
        <v>200.50512945574201</v>
      </c>
      <c r="K27" s="292">
        <v>0</v>
      </c>
      <c r="L27" s="292">
        <f t="shared" si="13"/>
        <v>1065.3100817547504</v>
      </c>
      <c r="M27" s="107">
        <v>2789.4044445601303</v>
      </c>
      <c r="N27" s="292">
        <v>479</v>
      </c>
      <c r="O27" s="107">
        <f t="shared" si="20"/>
        <v>2767.8164168864005</v>
      </c>
      <c r="P27" s="411">
        <v>1600</v>
      </c>
      <c r="Q27" s="107">
        <v>2500</v>
      </c>
      <c r="R27" s="107">
        <f t="shared" si="14"/>
        <v>7272.727272727273</v>
      </c>
      <c r="S27" s="292">
        <f t="shared" si="15"/>
        <v>545.66539923954383</v>
      </c>
      <c r="T27" s="107">
        <f>O27*'TTS Design Calcs'!$C$147*D27*3.785*1440/454000</f>
        <v>87976.300650181453</v>
      </c>
      <c r="U27" s="107">
        <v>112453.33452540985</v>
      </c>
      <c r="V27" s="107">
        <f t="shared" si="7"/>
        <v>175952.60130036291</v>
      </c>
      <c r="W27" s="107">
        <f t="shared" si="8"/>
        <v>23786.184990604612</v>
      </c>
      <c r="X27" s="107">
        <f>O27*'TTS Design Calcs'!$C$224*D27*3.785*1440/454000</f>
        <v>22077.862115545537</v>
      </c>
      <c r="Y27" s="107">
        <f t="shared" si="9"/>
        <v>4029.2098360870605</v>
      </c>
      <c r="Z27" s="107">
        <f>'TTS Design Calcs'!$C$269*(D27)/365</f>
        <v>152.0987483946576</v>
      </c>
      <c r="AA27" s="306">
        <f t="shared" si="16"/>
        <v>27.758021582025012</v>
      </c>
      <c r="AB27" s="293">
        <f>(L27-$A$121)*1440*'TTS Design Calcs'!$C$284</f>
        <v>61.097458942776051</v>
      </c>
      <c r="AC27" s="293">
        <f t="shared" si="17"/>
        <v>11.150286257056628</v>
      </c>
      <c r="AD27" s="107">
        <f>H27*'TTS Design Calcs'!$C$343</f>
        <v>11991.465323434802</v>
      </c>
      <c r="AE27" s="107">
        <f>H27*'TTS Design Calcs'!$C$352</f>
        <v>3997.1551078116017</v>
      </c>
      <c r="AF27" s="292">
        <f>H27*'TTS Design Calcs'!$C$309</f>
        <v>4164.3373040807955</v>
      </c>
      <c r="AG27" s="292">
        <f>H27*'TTS Design Calcs'!$C$317</f>
        <v>4164.3373040807955</v>
      </c>
      <c r="AH27" s="107">
        <f>H27*'TTS Design Calcs'!$C$326</f>
        <v>694.05621734679926</v>
      </c>
      <c r="AI27" s="302">
        <f>H27*'TTS Design Calcs'!$C$334</f>
        <v>694.05621734679926</v>
      </c>
      <c r="AJ27" s="304">
        <f>'TTS Design Calcs'!$C$381*H27</f>
        <v>1202145.4344172031</v>
      </c>
      <c r="AK27" s="304">
        <f>'TTS Design Calcs'!$C$390*D27</f>
        <v>347829.09392356087</v>
      </c>
      <c r="AL27" s="305">
        <f t="shared" si="0"/>
        <v>1549974.5283407639</v>
      </c>
      <c r="AM27" s="452"/>
      <c r="AN27" s="452"/>
      <c r="AO27" s="452">
        <f t="shared" si="18"/>
        <v>32111.349737316228</v>
      </c>
    </row>
    <row r="28" spans="1:41" s="91" customFormat="1" ht="12.5" x14ac:dyDescent="0.25">
      <c r="A28" s="106">
        <v>18</v>
      </c>
      <c r="B28" s="292">
        <v>1162.6360380458498</v>
      </c>
      <c r="C28" s="292">
        <f t="shared" si="10"/>
        <v>862.63603804584977</v>
      </c>
      <c r="D28" s="292">
        <f t="shared" si="5"/>
        <v>1256.2084309655031</v>
      </c>
      <c r="E28" s="292">
        <f>3*U28/'TTS Design Calcs'!$I$97/'TTS Design Calcs'!$L$97/'TTS Design Calcs'!$O$97/'TTS Design Calcs'!$R$97</f>
        <v>93.572392919653367</v>
      </c>
      <c r="F28" s="292">
        <f t="shared" si="11"/>
        <v>904.47007029516226</v>
      </c>
      <c r="G28" s="292">
        <f t="shared" si="12"/>
        <v>351.73836067034091</v>
      </c>
      <c r="H28" s="292">
        <f t="shared" si="19"/>
        <v>904.47007029516226</v>
      </c>
      <c r="I28" s="292">
        <f t="shared" si="1"/>
        <v>705.4866548302266</v>
      </c>
      <c r="J28" s="292">
        <f t="shared" si="2"/>
        <v>198.98341546493566</v>
      </c>
      <c r="K28" s="292">
        <v>0</v>
      </c>
      <c r="L28" s="292">
        <f t="shared" si="13"/>
        <v>1057.2250155005675</v>
      </c>
      <c r="M28" s="107">
        <v>2778.3692428455629</v>
      </c>
      <c r="N28" s="292">
        <v>479</v>
      </c>
      <c r="O28" s="107">
        <f t="shared" si="20"/>
        <v>2757.6340881322071</v>
      </c>
      <c r="P28" s="411">
        <v>1600</v>
      </c>
      <c r="Q28" s="107">
        <v>2500</v>
      </c>
      <c r="R28" s="107">
        <f t="shared" si="14"/>
        <v>7272.727272727273</v>
      </c>
      <c r="S28" s="292">
        <f t="shared" si="15"/>
        <v>545.66539923954383</v>
      </c>
      <c r="T28" s="107">
        <f>O28*'TTS Design Calcs'!$C$147*D28*3.785*1440/454000</f>
        <v>86987.419525452409</v>
      </c>
      <c r="U28" s="107">
        <v>111440.22849244702</v>
      </c>
      <c r="V28" s="107">
        <f t="shared" si="7"/>
        <v>173974.83905090482</v>
      </c>
      <c r="W28" s="107">
        <f t="shared" si="8"/>
        <v>23518.820834659356</v>
      </c>
      <c r="X28" s="107">
        <f>O28*'TTS Design Calcs'!$C$224*D28*3.785*1440/454000</f>
        <v>21829.700042815915</v>
      </c>
      <c r="Y28" s="107">
        <f t="shared" si="9"/>
        <v>3983.9202578139043</v>
      </c>
      <c r="Z28" s="107">
        <f>'TTS Design Calcs'!$C$269*(D28)/365</f>
        <v>150.94440987950571</v>
      </c>
      <c r="AA28" s="306">
        <f t="shared" si="16"/>
        <v>27.547354803009792</v>
      </c>
      <c r="AB28" s="293">
        <f>(L28-$A$121)*1440*'TTS Design Calcs'!$C$284</f>
        <v>60.451998997466113</v>
      </c>
      <c r="AC28" s="293">
        <f t="shared" si="17"/>
        <v>11.032489817037565</v>
      </c>
      <c r="AD28" s="107">
        <f>H28*'TTS Design Calcs'!$C$343</f>
        <v>11900.457274900227</v>
      </c>
      <c r="AE28" s="107">
        <f>H28*'TTS Design Calcs'!$C$352</f>
        <v>3966.8190916334102</v>
      </c>
      <c r="AF28" s="292">
        <f>H28*'TTS Design Calcs'!$C$309</f>
        <v>4132.7324750409716</v>
      </c>
      <c r="AG28" s="292">
        <f>H28*'TTS Design Calcs'!$C$317</f>
        <v>4132.7324750409716</v>
      </c>
      <c r="AH28" s="107">
        <f>H28*'TTS Design Calcs'!$C$326</f>
        <v>688.78874584016194</v>
      </c>
      <c r="AI28" s="302">
        <f>H28*'TTS Design Calcs'!$C$334</f>
        <v>688.78874584016194</v>
      </c>
      <c r="AJ28" s="304">
        <f>'TTS Design Calcs'!$C$381*H28</f>
        <v>1193021.869690943</v>
      </c>
      <c r="AK28" s="304">
        <f>'TTS Design Calcs'!$C$390*D28</f>
        <v>345189.27917134127</v>
      </c>
      <c r="AL28" s="305">
        <f t="shared" si="0"/>
        <v>1538211.1488622844</v>
      </c>
      <c r="AM28" s="452"/>
      <c r="AN28" s="452"/>
      <c r="AO28" s="452">
        <f t="shared" si="18"/>
        <v>31750.408126790127</v>
      </c>
    </row>
    <row r="29" spans="1:41" s="91" customFormat="1" ht="12.5" x14ac:dyDescent="0.25">
      <c r="A29" s="106">
        <v>19</v>
      </c>
      <c r="B29" s="292">
        <v>1153.9524045357471</v>
      </c>
      <c r="C29" s="292">
        <f t="shared" si="10"/>
        <v>853.95240453574706</v>
      </c>
      <c r="D29" s="292">
        <f t="shared" si="5"/>
        <v>1246.6830546648109</v>
      </c>
      <c r="E29" s="292">
        <f>3*U29/'TTS Design Calcs'!$I$97/'TTS Design Calcs'!$L$97/'TTS Design Calcs'!$O$97/'TTS Design Calcs'!$R$97</f>
        <v>92.730650129063861</v>
      </c>
      <c r="F29" s="292">
        <f t="shared" si="11"/>
        <v>897.6117993586638</v>
      </c>
      <c r="G29" s="292">
        <f t="shared" si="12"/>
        <v>349.07125530614707</v>
      </c>
      <c r="H29" s="292">
        <f t="shared" si="19"/>
        <v>897.6117993586638</v>
      </c>
      <c r="I29" s="292">
        <f t="shared" si="1"/>
        <v>700.13720349975779</v>
      </c>
      <c r="J29" s="292">
        <f t="shared" si="2"/>
        <v>197.47459585890601</v>
      </c>
      <c r="K29" s="292">
        <v>0</v>
      </c>
      <c r="L29" s="292">
        <f t="shared" si="13"/>
        <v>1049.2084588059049</v>
      </c>
      <c r="M29" s="107">
        <v>2767.339298247547</v>
      </c>
      <c r="N29" s="292">
        <v>479</v>
      </c>
      <c r="O29" s="107">
        <f t="shared" si="20"/>
        <v>2747.4540941944542</v>
      </c>
      <c r="P29" s="411">
        <v>1600</v>
      </c>
      <c r="Q29" s="107">
        <v>2500</v>
      </c>
      <c r="R29" s="107">
        <f t="shared" si="14"/>
        <v>7272.727272727273</v>
      </c>
      <c r="S29" s="292">
        <f t="shared" si="15"/>
        <v>545.66539923954372</v>
      </c>
      <c r="T29" s="107">
        <f>O29*'TTS Design Calcs'!$C$147*D29*3.785*1440/454000</f>
        <v>86009.140195538188</v>
      </c>
      <c r="U29" s="107">
        <v>110437.75323250887</v>
      </c>
      <c r="V29" s="107">
        <f t="shared" si="7"/>
        <v>172018.28039107638</v>
      </c>
      <c r="W29" s="107">
        <f t="shared" si="8"/>
        <v>23254.32308990477</v>
      </c>
      <c r="X29" s="107">
        <f>O29*'TTS Design Calcs'!$C$224*D29*3.785*1440/454000</f>
        <v>21584.19851573744</v>
      </c>
      <c r="Y29" s="107">
        <f t="shared" si="9"/>
        <v>3939.1162291220826</v>
      </c>
      <c r="Z29" s="107">
        <f>'TTS Design Calcs'!$C$269*(D29)/365</f>
        <v>149.79985275893048</v>
      </c>
      <c r="AA29" s="306">
        <f t="shared" si="16"/>
        <v>27.338473128504816</v>
      </c>
      <c r="AB29" s="293">
        <f>(L29-$A$121)*1440*'TTS Design Calcs'!$C$284</f>
        <v>59.8120084169271</v>
      </c>
      <c r="AC29" s="293">
        <f t="shared" si="17"/>
        <v>10.915691536089197</v>
      </c>
      <c r="AD29" s="107">
        <f>H29*'TTS Design Calcs'!$C$343</f>
        <v>11810.220391514074</v>
      </c>
      <c r="AE29" s="107">
        <f>H29*'TTS Design Calcs'!$C$352</f>
        <v>3936.7401305046928</v>
      </c>
      <c r="AF29" s="292">
        <f>H29*'TTS Design Calcs'!$C$309</f>
        <v>4101.3954524542023</v>
      </c>
      <c r="AG29" s="292">
        <f>H29*'TTS Design Calcs'!$C$317</f>
        <v>4101.3954524542023</v>
      </c>
      <c r="AH29" s="107">
        <f>H29*'TTS Design Calcs'!$C$326</f>
        <v>683.56590874236701</v>
      </c>
      <c r="AI29" s="302">
        <f>H29*'TTS Design Calcs'!$C$334</f>
        <v>683.56590874236701</v>
      </c>
      <c r="AJ29" s="304">
        <f>'TTS Design Calcs'!$C$381*H29</f>
        <v>1183975.6143374206</v>
      </c>
      <c r="AK29" s="304">
        <f>'TTS Design Calcs'!$C$390*D29</f>
        <v>342571.83313450444</v>
      </c>
      <c r="AL29" s="305">
        <f t="shared" si="0"/>
        <v>1526547.4474719251</v>
      </c>
      <c r="AM29" s="452"/>
      <c r="AN29" s="452"/>
      <c r="AO29" s="452">
        <f t="shared" si="18"/>
        <v>31393.336171371437</v>
      </c>
    </row>
    <row r="30" spans="1:41" s="91" customFormat="1" ht="12.5" x14ac:dyDescent="0.25">
      <c r="A30" s="106">
        <v>20</v>
      </c>
      <c r="B30" s="292">
        <v>1145.3421168586826</v>
      </c>
      <c r="C30" s="292">
        <f t="shared" si="10"/>
        <v>845.34211685868263</v>
      </c>
      <c r="D30" s="292">
        <f t="shared" si="5"/>
        <v>1237.2399078360274</v>
      </c>
      <c r="E30" s="292">
        <f>3*U30/'TTS Design Calcs'!$I$97/'TTS Design Calcs'!$L$97/'TTS Design Calcs'!$O$97/'TTS Design Calcs'!$R$97</f>
        <v>91.897790977344769</v>
      </c>
      <c r="F30" s="292">
        <f t="shared" si="11"/>
        <v>890.81273364193976</v>
      </c>
      <c r="G30" s="292">
        <f t="shared" si="12"/>
        <v>346.42717419408774</v>
      </c>
      <c r="H30" s="292">
        <f t="shared" si="19"/>
        <v>890.81273364193976</v>
      </c>
      <c r="I30" s="292">
        <f t="shared" si="1"/>
        <v>694.83393224071301</v>
      </c>
      <c r="J30" s="292">
        <f t="shared" si="2"/>
        <v>195.97880140122675</v>
      </c>
      <c r="K30" s="292">
        <v>0</v>
      </c>
      <c r="L30" s="292">
        <f t="shared" si="13"/>
        <v>1041.2611064348007</v>
      </c>
      <c r="M30" s="107">
        <v>2756.3130503517118</v>
      </c>
      <c r="N30" s="292">
        <v>479</v>
      </c>
      <c r="O30" s="107">
        <f t="shared" si="20"/>
        <v>2737.2750262976824</v>
      </c>
      <c r="P30" s="411">
        <v>1600</v>
      </c>
      <c r="Q30" s="107">
        <v>2500</v>
      </c>
      <c r="R30" s="107">
        <f t="shared" si="14"/>
        <v>7272.727272727273</v>
      </c>
      <c r="S30" s="292">
        <f t="shared" si="15"/>
        <v>545.66539923954383</v>
      </c>
      <c r="T30" s="107">
        <f>O30*'TTS Design Calcs'!$C$147*D30*3.785*1440/454000</f>
        <v>85041.411532854254</v>
      </c>
      <c r="U30" s="107">
        <v>109445.85796005071</v>
      </c>
      <c r="V30" s="107">
        <f t="shared" si="7"/>
        <v>170082.82306570851</v>
      </c>
      <c r="W30" s="107">
        <f t="shared" si="8"/>
        <v>22992.677932956889</v>
      </c>
      <c r="X30" s="107">
        <f>O30*'TTS Design Calcs'!$C$224*D30*3.785*1440/454000</f>
        <v>21341.344703721043</v>
      </c>
      <c r="Y30" s="107">
        <f t="shared" si="9"/>
        <v>3894.7954084290905</v>
      </c>
      <c r="Z30" s="107">
        <f>'TTS Design Calcs'!$C$269*(D30)/365</f>
        <v>148.66517622728142</v>
      </c>
      <c r="AA30" s="306">
        <f t="shared" si="16"/>
        <v>27.131394661478858</v>
      </c>
      <c r="AB30" s="293">
        <f>(L30-$A$121)*1440*'TTS Design Calcs'!$C$284</f>
        <v>59.177542666673318</v>
      </c>
      <c r="AC30" s="293">
        <f t="shared" si="17"/>
        <v>10.799901536667882</v>
      </c>
      <c r="AD30" s="107">
        <f>H30*'TTS Design Calcs'!$C$343</f>
        <v>11720.762493758864</v>
      </c>
      <c r="AE30" s="107">
        <f>H30*'TTS Design Calcs'!$C$352</f>
        <v>3906.9208312529554</v>
      </c>
      <c r="AF30" s="292">
        <f>H30*'TTS Design Calcs'!$C$309</f>
        <v>4070.3289521793245</v>
      </c>
      <c r="AG30" s="292">
        <f>H30*'TTS Design Calcs'!$C$317</f>
        <v>4070.3289521793245</v>
      </c>
      <c r="AH30" s="107">
        <f>H30*'TTS Design Calcs'!$C$326</f>
        <v>678.38815869655411</v>
      </c>
      <c r="AI30" s="302">
        <f>H30*'TTS Design Calcs'!$C$334</f>
        <v>678.38815869655411</v>
      </c>
      <c r="AJ30" s="304">
        <f>'TTS Design Calcs'!$C$381*H30</f>
        <v>1175007.4523606836</v>
      </c>
      <c r="AK30" s="304">
        <f>'TTS Design Calcs'!$C$390*D30</f>
        <v>339976.9826569992</v>
      </c>
      <c r="AL30" s="305">
        <f t="shared" si="0"/>
        <v>1514984.4350176828</v>
      </c>
      <c r="AM30" s="452"/>
      <c r="AN30" s="452"/>
      <c r="AO30" s="452">
        <f t="shared" si="18"/>
        <v>31040.115209491803</v>
      </c>
    </row>
    <row r="31" spans="1:41" s="91" customFormat="1" ht="12.5" x14ac:dyDescent="0.25">
      <c r="A31" s="106">
        <v>21</v>
      </c>
      <c r="B31" s="292">
        <v>1137.0212427833414</v>
      </c>
      <c r="C31" s="292">
        <f t="shared" si="10"/>
        <v>837.02124278334145</v>
      </c>
      <c r="D31" s="292">
        <f t="shared" si="5"/>
        <v>1228.1130935057847</v>
      </c>
      <c r="E31" s="292">
        <f>3*U31/'TTS Design Calcs'!$I$97/'TTS Design Calcs'!$L$97/'TTS Design Calcs'!$O$97/'TTS Design Calcs'!$R$97</f>
        <v>91.091850722443226</v>
      </c>
      <c r="F31" s="292">
        <f t="shared" si="11"/>
        <v>884.24142732416499</v>
      </c>
      <c r="G31" s="292">
        <f t="shared" si="12"/>
        <v>343.87166618161973</v>
      </c>
      <c r="H31" s="292">
        <f t="shared" si="19"/>
        <v>884.24142732416499</v>
      </c>
      <c r="I31" s="292">
        <f t="shared" si="1"/>
        <v>689.70831331284876</v>
      </c>
      <c r="J31" s="292">
        <f t="shared" si="2"/>
        <v>194.53311401131623</v>
      </c>
      <c r="K31" s="292">
        <v>0</v>
      </c>
      <c r="L31" s="292">
        <f t="shared" si="13"/>
        <v>1033.5799794944685</v>
      </c>
      <c r="M31" s="107">
        <v>2745.4806541958055</v>
      </c>
      <c r="N31" s="292">
        <v>479</v>
      </c>
      <c r="O31" s="107">
        <f t="shared" si="20"/>
        <v>2727.272813871085</v>
      </c>
      <c r="P31" s="411">
        <v>1600</v>
      </c>
      <c r="Q31" s="107">
        <v>2500</v>
      </c>
      <c r="R31" s="107">
        <f t="shared" si="14"/>
        <v>7272.727272727273</v>
      </c>
      <c r="S31" s="292">
        <f t="shared" si="15"/>
        <v>545.66539923954372</v>
      </c>
      <c r="T31" s="107">
        <f>O31*'TTS Design Calcs'!$C$147*D31*3.785*1440/454000</f>
        <v>84105.626452022872</v>
      </c>
      <c r="U31" s="107">
        <v>108486.0218015952</v>
      </c>
      <c r="V31" s="107">
        <f t="shared" si="7"/>
        <v>168211.25290404574</v>
      </c>
      <c r="W31" s="107">
        <f t="shared" si="8"/>
        <v>22739.669374065445</v>
      </c>
      <c r="X31" s="107">
        <f>O31*'TTS Design Calcs'!$C$224*D31*3.785*1440/454000</f>
        <v>21106.507209626692</v>
      </c>
      <c r="Y31" s="107">
        <f t="shared" si="9"/>
        <v>3851.9375657568712</v>
      </c>
      <c r="Z31" s="107">
        <f>'TTS Design Calcs'!$C$269*(D31)/365</f>
        <v>147.56850980696495</v>
      </c>
      <c r="AA31" s="306">
        <f t="shared" si="16"/>
        <v>26.931253039771104</v>
      </c>
      <c r="AB31" s="293">
        <f>(L31-$A$121)*1440*'TTS Design Calcs'!$C$284</f>
        <v>58.564330650969609</v>
      </c>
      <c r="AC31" s="293">
        <f t="shared" si="17"/>
        <v>10.687990343801953</v>
      </c>
      <c r="AD31" s="107">
        <f>H31*'TTS Design Calcs'!$C$343</f>
        <v>11634.301313181113</v>
      </c>
      <c r="AE31" s="107">
        <f>H31*'TTS Design Calcs'!$C$352</f>
        <v>3878.1004377270388</v>
      </c>
      <c r="AF31" s="292">
        <f>H31*'TTS Design Calcs'!$C$309</f>
        <v>4040.3031371581073</v>
      </c>
      <c r="AG31" s="292">
        <f>H31*'TTS Design Calcs'!$C$317</f>
        <v>4040.3031371581073</v>
      </c>
      <c r="AH31" s="107">
        <f>H31*'TTS Design Calcs'!$C$326</f>
        <v>673.38385619301789</v>
      </c>
      <c r="AI31" s="302">
        <f>H31*'TTS Design Calcs'!$C$334</f>
        <v>673.38385619301789</v>
      </c>
      <c r="AJ31" s="304">
        <f>'TTS Design Calcs'!$C$381*H31</f>
        <v>1166339.7115398236</v>
      </c>
      <c r="AK31" s="304">
        <f>'TTS Design Calcs'!$C$390*D31</f>
        <v>337469.05612018576</v>
      </c>
      <c r="AL31" s="305">
        <f t="shared" si="0"/>
        <v>1503808.7676600092</v>
      </c>
      <c r="AM31" s="452"/>
      <c r="AN31" s="452"/>
      <c r="AO31" s="452">
        <f t="shared" si="18"/>
        <v>30698.553654988347</v>
      </c>
    </row>
    <row r="32" spans="1:41" s="91" customFormat="1" ht="12.5" x14ac:dyDescent="0.25">
      <c r="A32" s="106">
        <v>22</v>
      </c>
      <c r="B32" s="292">
        <v>1129.2701779221891</v>
      </c>
      <c r="C32" s="292">
        <f t="shared" si="10"/>
        <v>829.27017792218908</v>
      </c>
      <c r="D32" s="292">
        <f t="shared" si="5"/>
        <v>1219.6063393886548</v>
      </c>
      <c r="E32" s="292">
        <f>3*U32/'TTS Design Calcs'!$I$97/'TTS Design Calcs'!$L$97/'TTS Design Calcs'!$O$97/'TTS Design Calcs'!$R$97</f>
        <v>90.336161466465754</v>
      </c>
      <c r="F32" s="292">
        <f t="shared" si="11"/>
        <v>878.11656435983139</v>
      </c>
      <c r="G32" s="292">
        <f t="shared" si="12"/>
        <v>341.48977502882337</v>
      </c>
      <c r="H32" s="292">
        <f t="shared" si="19"/>
        <v>878.11656435983139</v>
      </c>
      <c r="I32" s="292">
        <f t="shared" si="1"/>
        <v>684.93092020066854</v>
      </c>
      <c r="J32" s="292">
        <f t="shared" si="2"/>
        <v>193.18564415916285</v>
      </c>
      <c r="K32" s="292">
        <v>0</v>
      </c>
      <c r="L32" s="292">
        <f t="shared" si="13"/>
        <v>1026.4206952294919</v>
      </c>
      <c r="M32" s="107">
        <v>2735.0999934616793</v>
      </c>
      <c r="N32" s="292">
        <v>479</v>
      </c>
      <c r="O32" s="107">
        <f t="shared" si="20"/>
        <v>2717.6861523850866</v>
      </c>
      <c r="P32" s="411">
        <v>1600</v>
      </c>
      <c r="Q32" s="107">
        <v>2500</v>
      </c>
      <c r="R32" s="107">
        <f t="shared" si="14"/>
        <v>7272.727272727273</v>
      </c>
      <c r="S32" s="292">
        <f t="shared" si="15"/>
        <v>545.66539923954372</v>
      </c>
      <c r="T32" s="107">
        <f>O32*'TTS Design Calcs'!$C$147*D32*3.785*1440/454000</f>
        <v>83229.460518839653</v>
      </c>
      <c r="U32" s="107">
        <v>107586.03217081031</v>
      </c>
      <c r="V32" s="107">
        <f t="shared" si="7"/>
        <v>166458.92103767931</v>
      </c>
      <c r="W32" s="107">
        <f t="shared" si="8"/>
        <v>22502.780066204796</v>
      </c>
      <c r="X32" s="107">
        <f>O32*'TTS Design Calcs'!$C$224*D32*3.785*1440/454000</f>
        <v>20886.631282585</v>
      </c>
      <c r="Y32" s="107">
        <f t="shared" si="9"/>
        <v>3811.8102090717625</v>
      </c>
      <c r="Z32" s="107">
        <f>'TTS Design Calcs'!$C$269*(D32)/365</f>
        <v>146.54634903447806</v>
      </c>
      <c r="AA32" s="306">
        <f t="shared" si="16"/>
        <v>26.744708698792245</v>
      </c>
      <c r="AB32" s="293">
        <f>(L32-$A$121)*1440*'TTS Design Calcs'!$C$284</f>
        <v>57.99277921467317</v>
      </c>
      <c r="AC32" s="293">
        <f t="shared" si="17"/>
        <v>10.583682206677853</v>
      </c>
      <c r="AD32" s="107">
        <f>H32*'TTS Design Calcs'!$C$343</f>
        <v>11553.714157878247</v>
      </c>
      <c r="AE32" s="107">
        <f>H32*'TTS Design Calcs'!$C$352</f>
        <v>3851.2380526260831</v>
      </c>
      <c r="AF32" s="292">
        <f>H32*'TTS Design Calcs'!$C$309</f>
        <v>4012.3172248441524</v>
      </c>
      <c r="AG32" s="292">
        <f>H32*'TTS Design Calcs'!$C$317</f>
        <v>4012.3172248441524</v>
      </c>
      <c r="AH32" s="107">
        <f>H32*'TTS Design Calcs'!$C$326</f>
        <v>668.7195374740254</v>
      </c>
      <c r="AI32" s="302">
        <f>H32*'TTS Design Calcs'!$C$334</f>
        <v>668.7195374740254</v>
      </c>
      <c r="AJ32" s="304">
        <f>'TTS Design Calcs'!$C$381*H32</f>
        <v>1158260.8422601297</v>
      </c>
      <c r="AK32" s="304">
        <f>'TTS Design Calcs'!$C$390*D32</f>
        <v>335131.51383866882</v>
      </c>
      <c r="AL32" s="305">
        <f t="shared" si="0"/>
        <v>1493392.3560987986</v>
      </c>
      <c r="AM32" s="452"/>
      <c r="AN32" s="452"/>
      <c r="AO32" s="452">
        <f t="shared" si="18"/>
        <v>30378.753089376471</v>
      </c>
    </row>
    <row r="33" spans="1:41" s="91" customFormat="1" ht="12.5" x14ac:dyDescent="0.25">
      <c r="A33" s="106">
        <v>23</v>
      </c>
      <c r="B33" s="292">
        <v>1122.0192768445802</v>
      </c>
      <c r="C33" s="292">
        <f t="shared" si="10"/>
        <v>822.01927684458019</v>
      </c>
      <c r="D33" s="292">
        <f t="shared" si="5"/>
        <v>1211.6440579767366</v>
      </c>
      <c r="E33" s="292">
        <f>3*U33/'TTS Design Calcs'!$I$97/'TTS Design Calcs'!$L$97/'TTS Design Calcs'!$O$97/'TTS Design Calcs'!$R$97</f>
        <v>89.624781132156428</v>
      </c>
      <c r="F33" s="292">
        <f t="shared" si="11"/>
        <v>872.38372174325025</v>
      </c>
      <c r="G33" s="292">
        <f t="shared" si="12"/>
        <v>339.26033623348627</v>
      </c>
      <c r="H33" s="292">
        <f t="shared" si="19"/>
        <v>872.38372174325036</v>
      </c>
      <c r="I33" s="292">
        <f t="shared" si="1"/>
        <v>680.45930295973528</v>
      </c>
      <c r="J33" s="292">
        <f t="shared" si="2"/>
        <v>191.92441878351508</v>
      </c>
      <c r="K33" s="292">
        <v>0</v>
      </c>
      <c r="L33" s="292">
        <f t="shared" si="13"/>
        <v>1019.7196391932216</v>
      </c>
      <c r="M33" s="107">
        <v>2725.1284512607826</v>
      </c>
      <c r="N33" s="292">
        <v>479</v>
      </c>
      <c r="O33" s="107">
        <f t="shared" si="20"/>
        <v>2708.4757981668022</v>
      </c>
      <c r="P33" s="411">
        <v>1600</v>
      </c>
      <c r="Q33" s="107">
        <v>2500</v>
      </c>
      <c r="R33" s="107">
        <f t="shared" si="14"/>
        <v>7272.727272727273</v>
      </c>
      <c r="S33" s="292">
        <f t="shared" si="15"/>
        <v>545.66539923954383</v>
      </c>
      <c r="T33" s="107">
        <f>O33*'TTS Design Calcs'!$C$147*D33*3.785*1440/454000</f>
        <v>82405.864740605</v>
      </c>
      <c r="U33" s="107">
        <v>106738.81233890395</v>
      </c>
      <c r="V33" s="107">
        <f t="shared" si="7"/>
        <v>164811.72948121</v>
      </c>
      <c r="W33" s="107">
        <f t="shared" si="8"/>
        <v>22280.104170608018</v>
      </c>
      <c r="X33" s="107">
        <f>O33*'TTS Design Calcs'!$C$224*D33*3.785*1440/454000</f>
        <v>20679.947961094684</v>
      </c>
      <c r="Y33" s="107">
        <f t="shared" si="9"/>
        <v>3774.0905028997799</v>
      </c>
      <c r="Z33" s="107">
        <f>'TTS Design Calcs'!$C$269*(D33)/365</f>
        <v>145.58961141085553</v>
      </c>
      <c r="AA33" s="306">
        <f t="shared" si="16"/>
        <v>26.57010408248113</v>
      </c>
      <c r="AB33" s="293">
        <f>(L33-$A$121)*1440*'TTS Design Calcs'!$C$284</f>
        <v>57.457809787495982</v>
      </c>
      <c r="AC33" s="293">
        <f t="shared" si="17"/>
        <v>10.486050286218017</v>
      </c>
      <c r="AD33" s="107">
        <f>H33*'TTS Design Calcs'!$C$343</f>
        <v>11478.284963631846</v>
      </c>
      <c r="AE33" s="107">
        <f>H33*'TTS Design Calcs'!$C$352</f>
        <v>3826.0949878772831</v>
      </c>
      <c r="AF33" s="292">
        <f>H33*'TTS Design Calcs'!$C$309</f>
        <v>3986.1225439653131</v>
      </c>
      <c r="AG33" s="292">
        <f>H33*'TTS Design Calcs'!$C$317</f>
        <v>3986.1225439653131</v>
      </c>
      <c r="AH33" s="107">
        <f>H33*'TTS Design Calcs'!$C$326</f>
        <v>664.35375732755222</v>
      </c>
      <c r="AI33" s="302">
        <f>H33*'TTS Design Calcs'!$C$334</f>
        <v>664.35375732755222</v>
      </c>
      <c r="AJ33" s="304">
        <f>'TTS Design Calcs'!$C$381*H33</f>
        <v>1150699.0590218569</v>
      </c>
      <c r="AK33" s="304">
        <f>'TTS Design Calcs'!$C$390*D33</f>
        <v>332943.58537601162</v>
      </c>
      <c r="AL33" s="305">
        <f t="shared" si="0"/>
        <v>1483642.6443978685</v>
      </c>
      <c r="AM33" s="452"/>
      <c r="AN33" s="452"/>
      <c r="AO33" s="452">
        <f t="shared" si="18"/>
        <v>30078.140630320824</v>
      </c>
    </row>
    <row r="34" spans="1:41" s="91" customFormat="1" ht="12.5" x14ac:dyDescent="0.25">
      <c r="A34" s="106">
        <v>24</v>
      </c>
      <c r="B34" s="292">
        <v>1115.2243512320963</v>
      </c>
      <c r="C34" s="292">
        <f t="shared" si="10"/>
        <v>815.2243512320963</v>
      </c>
      <c r="D34" s="292">
        <f t="shared" si="5"/>
        <v>1204.1780944789921</v>
      </c>
      <c r="E34" s="292">
        <f>3*U34/'TTS Design Calcs'!$I$97/'TTS Design Calcs'!$L$97/'TTS Design Calcs'!$O$97/'TTS Design Calcs'!$R$97</f>
        <v>88.953743246895712</v>
      </c>
      <c r="F34" s="292">
        <f t="shared" si="11"/>
        <v>867.00822802487426</v>
      </c>
      <c r="G34" s="292">
        <f t="shared" si="12"/>
        <v>337.16986645411782</v>
      </c>
      <c r="H34" s="292">
        <f t="shared" si="19"/>
        <v>867.00822802487426</v>
      </c>
      <c r="I34" s="292">
        <f t="shared" si="1"/>
        <v>676.26641785940194</v>
      </c>
      <c r="J34" s="292">
        <f t="shared" si="2"/>
        <v>190.74181016547232</v>
      </c>
      <c r="K34" s="292">
        <v>0</v>
      </c>
      <c r="L34" s="292">
        <f t="shared" si="13"/>
        <v>1013.4362843135198</v>
      </c>
      <c r="M34" s="107">
        <v>2715.5358601186977</v>
      </c>
      <c r="N34" s="292">
        <v>479</v>
      </c>
      <c r="O34" s="107">
        <f t="shared" si="20"/>
        <v>2699.614027916798</v>
      </c>
      <c r="P34" s="411">
        <v>1600</v>
      </c>
      <c r="Q34" s="107">
        <v>2500</v>
      </c>
      <c r="R34" s="107">
        <f t="shared" si="14"/>
        <v>7272.727272727273</v>
      </c>
      <c r="S34" s="292">
        <f t="shared" si="15"/>
        <v>545.66539923954372</v>
      </c>
      <c r="T34" s="107">
        <f>O34*'TTS Design Calcs'!$C$147*D34*3.785*1440/454000</f>
        <v>81630.132937260147</v>
      </c>
      <c r="U34" s="107">
        <v>105939.63842737695</v>
      </c>
      <c r="V34" s="107">
        <f t="shared" si="7"/>
        <v>163260.26587452029</v>
      </c>
      <c r="W34" s="107">
        <f t="shared" si="8"/>
        <v>22070.369275629593</v>
      </c>
      <c r="X34" s="107">
        <f>O34*'TTS Design Calcs'!$C$224*D34*3.785*1440/454000</f>
        <v>20485.276218064813</v>
      </c>
      <c r="Y34" s="107">
        <f t="shared" si="9"/>
        <v>3738.5629097968285</v>
      </c>
      <c r="Z34" s="107">
        <f>'TTS Design Calcs'!$C$269*(D34)/365</f>
        <v>144.69251071755511</v>
      </c>
      <c r="AA34" s="306">
        <f t="shared" si="16"/>
        <v>26.406383205953809</v>
      </c>
      <c r="AB34" s="293">
        <f>(L34-$A$121)*1440*'TTS Design Calcs'!$C$284</f>
        <v>56.956186947371819</v>
      </c>
      <c r="AC34" s="293">
        <f t="shared" si="17"/>
        <v>10.394504117895355</v>
      </c>
      <c r="AD34" s="107">
        <f>H34*'TTS Design Calcs'!$C$343</f>
        <v>11407.55754497204</v>
      </c>
      <c r="AE34" s="107">
        <f>H34*'TTS Design Calcs'!$C$352</f>
        <v>3802.5191816573479</v>
      </c>
      <c r="AF34" s="292">
        <f>H34*'TTS Design Calcs'!$C$309</f>
        <v>3961.5606726675023</v>
      </c>
      <c r="AG34" s="292">
        <f>H34*'TTS Design Calcs'!$C$317</f>
        <v>3961.5606726675023</v>
      </c>
      <c r="AH34" s="107">
        <f>H34*'TTS Design Calcs'!$C$326</f>
        <v>660.26011211125035</v>
      </c>
      <c r="AI34" s="302">
        <f>H34*'TTS Design Calcs'!$C$334</f>
        <v>660.26011211125035</v>
      </c>
      <c r="AJ34" s="304">
        <f>'TTS Design Calcs'!$C$381*H34</f>
        <v>1143608.6291922485</v>
      </c>
      <c r="AK34" s="304">
        <f>'TTS Design Calcs'!$C$390*D34</f>
        <v>330892.03843954881</v>
      </c>
      <c r="AL34" s="305">
        <f t="shared" si="0"/>
        <v>1474500.6676317973</v>
      </c>
      <c r="AM34" s="452"/>
      <c r="AN34" s="452"/>
      <c r="AO34" s="452">
        <f t="shared" si="18"/>
        <v>29794.998522099952</v>
      </c>
    </row>
    <row r="35" spans="1:41" s="91" customFormat="1" ht="12.5" x14ac:dyDescent="0.25">
      <c r="A35" s="106">
        <v>25</v>
      </c>
      <c r="B35" s="292">
        <v>1108.8085679998981</v>
      </c>
      <c r="C35" s="292">
        <f t="shared" si="10"/>
        <v>808.80856799989806</v>
      </c>
      <c r="D35" s="292">
        <f t="shared" si="5"/>
        <v>1197.1250554235926</v>
      </c>
      <c r="E35" s="292">
        <f>3*U35/'TTS Design Calcs'!$I$97/'TTS Design Calcs'!$L$97/'TTS Design Calcs'!$O$97/'TTS Design Calcs'!$R$97</f>
        <v>88.316487423694497</v>
      </c>
      <c r="F35" s="292">
        <f t="shared" si="11"/>
        <v>861.93003990498664</v>
      </c>
      <c r="G35" s="292">
        <f t="shared" si="12"/>
        <v>335.19501551860594</v>
      </c>
      <c r="H35" s="292">
        <f t="shared" si="19"/>
        <v>861.93003990498664</v>
      </c>
      <c r="I35" s="292">
        <f t="shared" si="1"/>
        <v>672.30543112588964</v>
      </c>
      <c r="J35" s="292">
        <f t="shared" si="2"/>
        <v>189.624608779097</v>
      </c>
      <c r="K35" s="292">
        <v>0</v>
      </c>
      <c r="L35" s="292">
        <f t="shared" si="13"/>
        <v>1007.5004466444956</v>
      </c>
      <c r="M35" s="107">
        <v>2706.26382967482</v>
      </c>
      <c r="N35" s="292">
        <v>479</v>
      </c>
      <c r="O35" s="107">
        <f t="shared" si="20"/>
        <v>2691.0469591925685</v>
      </c>
      <c r="P35" s="411">
        <v>1600</v>
      </c>
      <c r="Q35" s="107">
        <v>2500</v>
      </c>
      <c r="R35" s="107">
        <f t="shared" si="14"/>
        <v>7272.727272727273</v>
      </c>
      <c r="S35" s="292">
        <f t="shared" si="15"/>
        <v>545.66539923954372</v>
      </c>
      <c r="T35" s="107">
        <f>O35*'TTS Design Calcs'!$C$147*D35*3.785*1440/454000</f>
        <v>80894.482648344128</v>
      </c>
      <c r="U35" s="107">
        <v>105180.6973302238</v>
      </c>
      <c r="V35" s="107">
        <f t="shared" si="7"/>
        <v>161788.96529668826</v>
      </c>
      <c r="W35" s="107">
        <f t="shared" si="8"/>
        <v>21871.4712345523</v>
      </c>
      <c r="X35" s="107">
        <f>O35*'TTS Design Calcs'!$C$224*D35*3.785*1440/454000</f>
        <v>20300.663026513022</v>
      </c>
      <c r="Y35" s="107">
        <f t="shared" si="9"/>
        <v>3704.8710023386266</v>
      </c>
      <c r="Z35" s="107">
        <f>'TTS Design Calcs'!$C$269*(D35)/365</f>
        <v>143.84502650089837</v>
      </c>
      <c r="AA35" s="306">
        <f t="shared" si="16"/>
        <v>26.251717336413954</v>
      </c>
      <c r="AB35" s="293">
        <f>(L35-$A$121)*1440*'TTS Design Calcs'!$C$284</f>
        <v>56.482307657238003</v>
      </c>
      <c r="AC35" s="293">
        <f t="shared" si="17"/>
        <v>10.308021147445936</v>
      </c>
      <c r="AD35" s="107">
        <f>H35*'TTS Design Calcs'!$C$343</f>
        <v>11340.741889330824</v>
      </c>
      <c r="AE35" s="107">
        <f>H35*'TTS Design Calcs'!$C$352</f>
        <v>3780.2472964436092</v>
      </c>
      <c r="AF35" s="292">
        <f>H35*'TTS Design Calcs'!$C$309</f>
        <v>3938.3572592581695</v>
      </c>
      <c r="AG35" s="292">
        <f>H35*'TTS Design Calcs'!$C$317</f>
        <v>3938.3572592581695</v>
      </c>
      <c r="AH35" s="107">
        <f>H35*'TTS Design Calcs'!$C$326</f>
        <v>656.39287654302825</v>
      </c>
      <c r="AI35" s="302">
        <f>H35*'TTS Design Calcs'!$C$334</f>
        <v>656.39287654302825</v>
      </c>
      <c r="AJ35" s="304">
        <f>'TTS Design Calcs'!$C$381*H35</f>
        <v>1136910.3539431253</v>
      </c>
      <c r="AK35" s="304">
        <f>'TTS Design Calcs'!$C$390*D35</f>
        <v>328953.95761833555</v>
      </c>
      <c r="AL35" s="305">
        <f t="shared" si="0"/>
        <v>1465864.3115614608</v>
      </c>
      <c r="AM35" s="452"/>
      <c r="AN35" s="452"/>
      <c r="AO35" s="452">
        <f t="shared" si="18"/>
        <v>29526.486166645605</v>
      </c>
    </row>
    <row r="36" spans="1:41" s="91" customFormat="1" ht="12.5" x14ac:dyDescent="0.25">
      <c r="A36" s="106">
        <v>26</v>
      </c>
      <c r="B36" s="292">
        <v>1102.7341137584349</v>
      </c>
      <c r="C36" s="292">
        <f t="shared" si="10"/>
        <v>802.73411375843489</v>
      </c>
      <c r="D36" s="292">
        <f t="shared" si="5"/>
        <v>1190.4439531928151</v>
      </c>
      <c r="E36" s="292">
        <f>3*U36/'TTS Design Calcs'!$I$97/'TTS Design Calcs'!$L$97/'TTS Design Calcs'!$O$97/'TTS Design Calcs'!$R$97</f>
        <v>87.709839434380243</v>
      </c>
      <c r="F36" s="292">
        <f t="shared" si="11"/>
        <v>857.11964629882686</v>
      </c>
      <c r="G36" s="292">
        <f t="shared" si="12"/>
        <v>333.32430689398825</v>
      </c>
      <c r="H36" s="292">
        <f t="shared" si="19"/>
        <v>857.11964629882686</v>
      </c>
      <c r="I36" s="292">
        <f t="shared" si="1"/>
        <v>668.55332411308495</v>
      </c>
      <c r="J36" s="292">
        <f t="shared" si="2"/>
        <v>188.56632218574191</v>
      </c>
      <c r="K36" s="292">
        <v>0</v>
      </c>
      <c r="L36" s="292">
        <f t="shared" si="13"/>
        <v>1001.8776310070732</v>
      </c>
      <c r="M36" s="107">
        <v>2697.2912271594705</v>
      </c>
      <c r="N36" s="292">
        <v>479</v>
      </c>
      <c r="O36" s="107">
        <f t="shared" si="20"/>
        <v>2682.7551527734754</v>
      </c>
      <c r="P36" s="411">
        <v>1600</v>
      </c>
      <c r="Q36" s="107">
        <v>2500</v>
      </c>
      <c r="R36" s="107">
        <f t="shared" si="14"/>
        <v>7272.727272727273</v>
      </c>
      <c r="S36" s="292">
        <f t="shared" si="15"/>
        <v>545.66539923954383</v>
      </c>
      <c r="T36" s="107">
        <f>O36*'TTS Design Calcs'!$C$147*D36*3.785*1440/454000</f>
        <v>80195.148527512836</v>
      </c>
      <c r="U36" s="107">
        <v>104458.208694054</v>
      </c>
      <c r="V36" s="107">
        <f t="shared" si="7"/>
        <v>160390.29705502567</v>
      </c>
      <c r="W36" s="107">
        <f t="shared" si="8"/>
        <v>21682.392009290506</v>
      </c>
      <c r="X36" s="107">
        <f>O36*'TTS Design Calcs'!$C$224*D36*3.785*1440/454000</f>
        <v>20125.163463809178</v>
      </c>
      <c r="Y36" s="107">
        <f t="shared" si="9"/>
        <v>3672.8423321451751</v>
      </c>
      <c r="Z36" s="107">
        <f>'TTS Design Calcs'!$C$269*(D36)/365</f>
        <v>143.04223374078751</v>
      </c>
      <c r="AA36" s="306">
        <f t="shared" si="16"/>
        <v>26.105207657693722</v>
      </c>
      <c r="AB36" s="293">
        <f>(L36-$A$121)*1440*'TTS Design Calcs'!$C$284</f>
        <v>56.033418042766286</v>
      </c>
      <c r="AC36" s="293">
        <f t="shared" si="17"/>
        <v>10.226098792804848</v>
      </c>
      <c r="AD36" s="107">
        <f>H36*'TTS Design Calcs'!$C$343</f>
        <v>11277.449708123682</v>
      </c>
      <c r="AE36" s="107">
        <f>H36*'TTS Design Calcs'!$C$352</f>
        <v>3759.1499027078953</v>
      </c>
      <c r="AF36" s="292">
        <f>H36*'TTS Design Calcs'!$C$309</f>
        <v>3916.3774607807932</v>
      </c>
      <c r="AG36" s="292">
        <f>H36*'TTS Design Calcs'!$C$317</f>
        <v>3916.3774607807932</v>
      </c>
      <c r="AH36" s="107">
        <f>H36*'TTS Design Calcs'!$C$326</f>
        <v>652.72957679679894</v>
      </c>
      <c r="AI36" s="302">
        <f>H36*'TTS Design Calcs'!$C$334</f>
        <v>652.72957679679894</v>
      </c>
      <c r="AJ36" s="304">
        <f>'TTS Design Calcs'!$C$381*H36</f>
        <v>1130565.3073103526</v>
      </c>
      <c r="AK36" s="304">
        <f>'TTS Design Calcs'!$C$390*D36</f>
        <v>327118.08006309613</v>
      </c>
      <c r="AL36" s="305">
        <f t="shared" si="0"/>
        <v>1457683.3873734488</v>
      </c>
      <c r="AM36" s="452"/>
      <c r="AN36" s="452"/>
      <c r="AO36" s="452">
        <f t="shared" si="18"/>
        <v>29271.229212542185</v>
      </c>
    </row>
    <row r="37" spans="1:41" s="91" customFormat="1" ht="12.5" x14ac:dyDescent="0.25">
      <c r="A37" s="106">
        <v>27</v>
      </c>
      <c r="B37" s="292">
        <v>1096.9759422802258</v>
      </c>
      <c r="C37" s="292">
        <f t="shared" si="10"/>
        <v>796.97594228022581</v>
      </c>
      <c r="D37" s="292">
        <f t="shared" si="5"/>
        <v>1184.1075350915505</v>
      </c>
      <c r="E37" s="292">
        <f>3*U37/'TTS Design Calcs'!$I$97/'TTS Design Calcs'!$L$97/'TTS Design Calcs'!$O$97/'TTS Design Calcs'!$R$97</f>
        <v>87.131592811324637</v>
      </c>
      <c r="F37" s="292">
        <f t="shared" si="11"/>
        <v>852.55742526591632</v>
      </c>
      <c r="G37" s="292">
        <f t="shared" si="12"/>
        <v>331.55010982563419</v>
      </c>
      <c r="H37" s="292">
        <f t="shared" si="19"/>
        <v>852.55742526591632</v>
      </c>
      <c r="I37" s="292">
        <f t="shared" si="1"/>
        <v>664.99479170741472</v>
      </c>
      <c r="J37" s="292">
        <f t="shared" si="2"/>
        <v>187.5626335585016</v>
      </c>
      <c r="K37" s="292">
        <v>0</v>
      </c>
      <c r="L37" s="292">
        <f t="shared" si="13"/>
        <v>996.54490153304891</v>
      </c>
      <c r="M37" s="107">
        <v>2688.6027828025335</v>
      </c>
      <c r="N37" s="292">
        <v>479</v>
      </c>
      <c r="O37" s="107">
        <f t="shared" si="20"/>
        <v>2674.7245999625238</v>
      </c>
      <c r="P37" s="411">
        <v>1600</v>
      </c>
      <c r="Q37" s="107">
        <v>2500</v>
      </c>
      <c r="R37" s="107">
        <f t="shared" si="14"/>
        <v>7272.727272727273</v>
      </c>
      <c r="S37" s="292">
        <f t="shared" si="15"/>
        <v>545.66539923954383</v>
      </c>
      <c r="T37" s="107">
        <f>O37*'TTS Design Calcs'!$C$147*D37*3.785*1440/454000</f>
        <v>79529.512766231666</v>
      </c>
      <c r="U37" s="107">
        <v>103769.5447218327</v>
      </c>
      <c r="V37" s="107">
        <f t="shared" si="7"/>
        <v>159059.02553246333</v>
      </c>
      <c r="W37" s="107">
        <f t="shared" si="8"/>
        <v>21502.423821981156</v>
      </c>
      <c r="X37" s="107">
        <f>O37*'TTS Design Calcs'!$C$224*D37*3.785*1440/454000</f>
        <v>19958.120584668613</v>
      </c>
      <c r="Y37" s="107">
        <f t="shared" si="9"/>
        <v>3642.3570067020223</v>
      </c>
      <c r="Z37" s="107">
        <f>'TTS Design Calcs'!$C$269*(D37)/365</f>
        <v>142.28085778798476</v>
      </c>
      <c r="AA37" s="306">
        <f t="shared" si="16"/>
        <v>25.966256546307218</v>
      </c>
      <c r="AB37" s="293">
        <f>(L37-$A$121)*1440*'TTS Design Calcs'!$C$284</f>
        <v>55.607687051028819</v>
      </c>
      <c r="AC37" s="293">
        <f t="shared" si="17"/>
        <v>10.148402886812759</v>
      </c>
      <c r="AD37" s="107">
        <f>H37*'TTS Design Calcs'!$C$343</f>
        <v>11217.422828004714</v>
      </c>
      <c r="AE37" s="107">
        <f>H37*'TTS Design Calcs'!$C$352</f>
        <v>3739.1409426682389</v>
      </c>
      <c r="AF37" s="292">
        <f>H37*'TTS Design Calcs'!$C$309</f>
        <v>3895.5316200611865</v>
      </c>
      <c r="AG37" s="292">
        <f>H37*'TTS Design Calcs'!$C$317</f>
        <v>3895.5316200611865</v>
      </c>
      <c r="AH37" s="107">
        <f>H37*'TTS Design Calcs'!$C$326</f>
        <v>649.25527001019782</v>
      </c>
      <c r="AI37" s="302">
        <f>H37*'TTS Design Calcs'!$C$334</f>
        <v>649.25527001019782</v>
      </c>
      <c r="AJ37" s="304">
        <f>'TTS Design Calcs'!$C$381*H37</f>
        <v>1124547.6073937041</v>
      </c>
      <c r="AK37" s="304">
        <f>'TTS Design Calcs'!$C$390*D37</f>
        <v>325376.91709762975</v>
      </c>
      <c r="AL37" s="305">
        <f t="shared" si="0"/>
        <v>1449924.5244913339</v>
      </c>
      <c r="AM37" s="452"/>
      <c r="AN37" s="452"/>
      <c r="AO37" s="452">
        <f t="shared" si="18"/>
        <v>29028.272159674558</v>
      </c>
    </row>
    <row r="38" spans="1:41" s="91" customFormat="1" ht="12.5" x14ac:dyDescent="0.25">
      <c r="A38" s="106">
        <v>28</v>
      </c>
      <c r="B38" s="292">
        <v>1091.5115849428646</v>
      </c>
      <c r="C38" s="292">
        <f t="shared" si="10"/>
        <v>791.5115849428646</v>
      </c>
      <c r="D38" s="292">
        <f t="shared" si="5"/>
        <v>1178.0914197679544</v>
      </c>
      <c r="E38" s="292">
        <f>3*U38/'TTS Design Calcs'!$I$97/'TTS Design Calcs'!$L$97/'TTS Design Calcs'!$O$97/'TTS Design Calcs'!$R$97</f>
        <v>86.579834825089748</v>
      </c>
      <c r="F38" s="292">
        <f t="shared" si="11"/>
        <v>848.22582223292716</v>
      </c>
      <c r="G38" s="292">
        <f t="shared" si="12"/>
        <v>329.86559753502729</v>
      </c>
      <c r="H38" s="292">
        <f t="shared" si="19"/>
        <v>848.22582223292716</v>
      </c>
      <c r="I38" s="292">
        <f t="shared" si="1"/>
        <v>661.61614134168326</v>
      </c>
      <c r="J38" s="292">
        <f t="shared" si="2"/>
        <v>186.6096808912439</v>
      </c>
      <c r="K38" s="292">
        <v>0</v>
      </c>
      <c r="L38" s="292">
        <f t="shared" si="13"/>
        <v>991.48173887671055</v>
      </c>
      <c r="M38" s="107">
        <v>2680.187312631349</v>
      </c>
      <c r="N38" s="292">
        <v>479</v>
      </c>
      <c r="O38" s="107">
        <f t="shared" si="20"/>
        <v>2666.9450569766291</v>
      </c>
      <c r="P38" s="411">
        <v>1600</v>
      </c>
      <c r="Q38" s="107">
        <v>2500</v>
      </c>
      <c r="R38" s="107">
        <f t="shared" si="14"/>
        <v>7272.727272727273</v>
      </c>
      <c r="S38" s="292">
        <f t="shared" si="15"/>
        <v>545.66539923954372</v>
      </c>
      <c r="T38" s="107">
        <f>O38*'TTS Design Calcs'!$C$147*D38*3.785*1440/454000</f>
        <v>78895.306306695813</v>
      </c>
      <c r="U38" s="107">
        <v>103112.42744461028</v>
      </c>
      <c r="V38" s="107">
        <f t="shared" si="7"/>
        <v>157790.61261339163</v>
      </c>
      <c r="W38" s="107">
        <f t="shared" si="8"/>
        <v>21330.953186625167</v>
      </c>
      <c r="X38" s="107">
        <f>O38*'TTS Design Calcs'!$C$224*D38*3.785*1440/454000</f>
        <v>19798.964963632709</v>
      </c>
      <c r="Y38" s="107">
        <f t="shared" si="9"/>
        <v>3613.3111058629697</v>
      </c>
      <c r="Z38" s="107">
        <f>'TTS Design Calcs'!$C$269*(D38)/365</f>
        <v>141.55796901021296</v>
      </c>
      <c r="AA38" s="306">
        <f t="shared" si="16"/>
        <v>25.834329344363866</v>
      </c>
      <c r="AB38" s="293">
        <f>(L38-$A$121)*1440*'TTS Design Calcs'!$C$284</f>
        <v>55.203476548787762</v>
      </c>
      <c r="AC38" s="293">
        <f t="shared" si="17"/>
        <v>10.074634470153768</v>
      </c>
      <c r="AD38" s="107">
        <f>H38*'TTS Design Calcs'!$C$343</f>
        <v>11160.430276765186</v>
      </c>
      <c r="AE38" s="107">
        <f>H38*'TTS Design Calcs'!$C$352</f>
        <v>3720.1434255883964</v>
      </c>
      <c r="AF38" s="292">
        <f>H38*'TTS Design Calcs'!$C$309</f>
        <v>3875.7395262027594</v>
      </c>
      <c r="AG38" s="292">
        <f>H38*'TTS Design Calcs'!$C$317</f>
        <v>3875.7395262027594</v>
      </c>
      <c r="AH38" s="107">
        <f>H38*'TTS Design Calcs'!$C$326</f>
        <v>645.95658770045986</v>
      </c>
      <c r="AI38" s="302">
        <f>H38*'TTS Design Calcs'!$C$334</f>
        <v>645.95658770045986</v>
      </c>
      <c r="AJ38" s="304">
        <f>'TTS Design Calcs'!$C$381*H38</f>
        <v>1118834.0992093047</v>
      </c>
      <c r="AK38" s="304">
        <f>'TTS Design Calcs'!$C$390*D38</f>
        <v>323723.76905246999</v>
      </c>
      <c r="AL38" s="305">
        <f t="shared" si="0"/>
        <v>1442557.8682617745</v>
      </c>
      <c r="AM38" s="452"/>
      <c r="AN38" s="452"/>
      <c r="AO38" s="452">
        <f t="shared" si="18"/>
        <v>28796.786801943974</v>
      </c>
    </row>
    <row r="39" spans="1:41" s="91" customFormat="1" ht="12.5" x14ac:dyDescent="0.25">
      <c r="A39" s="106">
        <v>29</v>
      </c>
      <c r="B39" s="292">
        <v>1086.3191985488463</v>
      </c>
      <c r="C39" s="292">
        <f t="shared" si="10"/>
        <v>786.31919854884632</v>
      </c>
      <c r="D39" s="292">
        <f t="shared" si="5"/>
        <v>1172.3717693273525</v>
      </c>
      <c r="E39" s="292">
        <f>3*U39/'TTS Design Calcs'!$I$97/'TTS Design Calcs'!$L$97/'TTS Design Calcs'!$O$97/'TTS Design Calcs'!$R$97</f>
        <v>86.052570778506066</v>
      </c>
      <c r="F39" s="292">
        <f t="shared" si="11"/>
        <v>844.10767391569379</v>
      </c>
      <c r="G39" s="292">
        <f t="shared" si="12"/>
        <v>328.26409541165873</v>
      </c>
      <c r="H39" s="292">
        <f t="shared" si="19"/>
        <v>844.10767391569379</v>
      </c>
      <c r="I39" s="292">
        <f t="shared" si="1"/>
        <v>658.40398565424118</v>
      </c>
      <c r="J39" s="292">
        <f t="shared" si="2"/>
        <v>185.70368826145261</v>
      </c>
      <c r="K39" s="292">
        <v>0</v>
      </c>
      <c r="L39" s="292">
        <f t="shared" si="13"/>
        <v>986.66808106589997</v>
      </c>
      <c r="M39" s="107">
        <v>2672.0273168077379</v>
      </c>
      <c r="N39" s="292">
        <v>479</v>
      </c>
      <c r="O39" s="107">
        <f t="shared" si="20"/>
        <v>2659.4004408945384</v>
      </c>
      <c r="P39" s="411">
        <v>1600</v>
      </c>
      <c r="Q39" s="107">
        <v>2500</v>
      </c>
      <c r="R39" s="107">
        <f t="shared" si="14"/>
        <v>7272.727272727273</v>
      </c>
      <c r="S39" s="292">
        <f t="shared" si="15"/>
        <v>545.66539923954372</v>
      </c>
      <c r="T39" s="107">
        <f>O39*'TTS Design Calcs'!$C$147*D39*3.785*1440/454000</f>
        <v>78290.162323840865</v>
      </c>
      <c r="U39" s="107">
        <v>102484.48127380337</v>
      </c>
      <c r="V39" s="107">
        <f t="shared" si="7"/>
        <v>156580.32464768173</v>
      </c>
      <c r="W39" s="107">
        <f t="shared" si="8"/>
        <v>21167.34018385327</v>
      </c>
      <c r="X39" s="107">
        <f>O39*'TTS Design Calcs'!$C$224*D39*3.785*1440/454000</f>
        <v>19647.102640316254</v>
      </c>
      <c r="Y39" s="107">
        <f t="shared" si="9"/>
        <v>3585.5962318577167</v>
      </c>
      <c r="Z39" s="107">
        <f>'TTS Design Calcs'!$C$269*(D39)/365</f>
        <v>140.87070307631839</v>
      </c>
      <c r="AA39" s="306">
        <f t="shared" si="16"/>
        <v>25.708903311428109</v>
      </c>
      <c r="AB39" s="293">
        <f>(L39-$A$121)*1440*'TTS Design Calcs'!$C$284</f>
        <v>54.819184916582643</v>
      </c>
      <c r="AC39" s="293">
        <f t="shared" si="17"/>
        <v>10.004501247276332</v>
      </c>
      <c r="AD39" s="107">
        <f>H39*'TTS Design Calcs'!$C$343</f>
        <v>11106.246230536941</v>
      </c>
      <c r="AE39" s="107">
        <f>H39*'TTS Design Calcs'!$C$352</f>
        <v>3702.0820768456479</v>
      </c>
      <c r="AF39" s="292">
        <f>H39*'TTS Design Calcs'!$C$309</f>
        <v>3856.9227561994007</v>
      </c>
      <c r="AG39" s="292">
        <f>H39*'TTS Design Calcs'!$C$317</f>
        <v>3856.9227561994007</v>
      </c>
      <c r="AH39" s="107">
        <f>H39*'TTS Design Calcs'!$C$326</f>
        <v>642.82045936656675</v>
      </c>
      <c r="AI39" s="302">
        <f>H39*'TTS Design Calcs'!$C$334</f>
        <v>642.82045936656675</v>
      </c>
      <c r="AJ39" s="304">
        <f>'TTS Design Calcs'!$C$381*H39</f>
        <v>1113402.1438948661</v>
      </c>
      <c r="AK39" s="304">
        <f>'TTS Design Calcs'!$C$390*D39</f>
        <v>322152.08559291385</v>
      </c>
      <c r="AL39" s="305">
        <f t="shared" si="0"/>
        <v>1435554.22948778</v>
      </c>
      <c r="AM39" s="452"/>
      <c r="AN39" s="452"/>
      <c r="AO39" s="452">
        <f t="shared" si="18"/>
        <v>28575.909248201915</v>
      </c>
    </row>
    <row r="40" spans="1:41" s="91" customFormat="1" ht="12.5" x14ac:dyDescent="0.25">
      <c r="A40" s="106">
        <v>30</v>
      </c>
      <c r="B40" s="292">
        <v>1081.3823333981341</v>
      </c>
      <c r="C40" s="292">
        <f t="shared" si="10"/>
        <v>781.38233339813405</v>
      </c>
      <c r="D40" s="292">
        <f t="shared" si="5"/>
        <v>1166.9307194372504</v>
      </c>
      <c r="E40" s="292">
        <f>3*U40/'TTS Design Calcs'!$I$97/'TTS Design Calcs'!$L$97/'TTS Design Calcs'!$O$97/'TTS Design Calcs'!$R$97</f>
        <v>85.54838603911638</v>
      </c>
      <c r="F40" s="292">
        <f t="shared" si="11"/>
        <v>840.1901179948203</v>
      </c>
      <c r="G40" s="292">
        <f t="shared" si="12"/>
        <v>326.74060144243015</v>
      </c>
      <c r="H40" s="292">
        <f t="shared" si="19"/>
        <v>840.1901179948203</v>
      </c>
      <c r="I40" s="292">
        <f t="shared" si="1"/>
        <v>655.34829203595984</v>
      </c>
      <c r="J40" s="292">
        <f t="shared" si="2"/>
        <v>184.84182595886045</v>
      </c>
      <c r="K40" s="292">
        <v>0</v>
      </c>
      <c r="L40" s="292">
        <f t="shared" si="13"/>
        <v>982.08889347838999</v>
      </c>
      <c r="M40" s="107">
        <v>2664.1146247298134</v>
      </c>
      <c r="N40" s="292">
        <v>479</v>
      </c>
      <c r="O40" s="107">
        <f t="shared" si="20"/>
        <v>2652.0832838479646</v>
      </c>
      <c r="P40" s="411">
        <v>1600</v>
      </c>
      <c r="Q40" s="107">
        <v>2500</v>
      </c>
      <c r="R40" s="107">
        <f t="shared" si="14"/>
        <v>7272.727272727273</v>
      </c>
      <c r="S40" s="292">
        <f t="shared" si="15"/>
        <v>545.66539923954383</v>
      </c>
      <c r="T40" s="107">
        <f>O40*'TTS Design Calcs'!$C$147*D40*3.785*1440/454000</f>
        <v>77712.402583043586</v>
      </c>
      <c r="U40" s="107">
        <v>101884.02145005771</v>
      </c>
      <c r="V40" s="107">
        <f t="shared" si="7"/>
        <v>155424.80516608717</v>
      </c>
      <c r="W40" s="107">
        <f t="shared" si="8"/>
        <v>21011.131068748819</v>
      </c>
      <c r="X40" s="107">
        <f>O40*'TTS Design Calcs'!$C$224*D40*3.785*1440/454000</f>
        <v>19502.112457744744</v>
      </c>
      <c r="Y40" s="107">
        <f t="shared" si="9"/>
        <v>3559.1355235384158</v>
      </c>
      <c r="Z40" s="107">
        <f>'TTS Design Calcs'!$C$269*(D40)/365</f>
        <v>140.21691343079343</v>
      </c>
      <c r="AA40" s="306">
        <f t="shared" si="16"/>
        <v>25.589586701119799</v>
      </c>
      <c r="AB40" s="293">
        <f>(L40-$A$121)*1440*'TTS Design Calcs'!$C$284</f>
        <v>54.453611886396402</v>
      </c>
      <c r="AC40" s="293">
        <f t="shared" si="17"/>
        <v>9.9377841692673421</v>
      </c>
      <c r="AD40" s="107">
        <f>H40*'TTS Design Calcs'!$C$343</f>
        <v>11054.701454883752</v>
      </c>
      <c r="AE40" s="107">
        <f>H40*'TTS Design Calcs'!$C$352</f>
        <v>3684.9004849612515</v>
      </c>
      <c r="AF40" s="292">
        <f>H40*'TTS Design Calcs'!$C$309</f>
        <v>3839.0225391455633</v>
      </c>
      <c r="AG40" s="292">
        <f>H40*'TTS Design Calcs'!$C$317</f>
        <v>3839.0225391455633</v>
      </c>
      <c r="AH40" s="107">
        <f>H40*'TTS Design Calcs'!$C$326</f>
        <v>639.83708985759392</v>
      </c>
      <c r="AI40" s="302">
        <f>H40*'TTS Design Calcs'!$C$334</f>
        <v>639.83708985759392</v>
      </c>
      <c r="AJ40" s="304">
        <f>'TTS Design Calcs'!$C$381*H40</f>
        <v>1108234.7756835397</v>
      </c>
      <c r="AK40" s="304">
        <f>'TTS Design Calcs'!$C$390*D40</f>
        <v>320656.95783926867</v>
      </c>
      <c r="AL40" s="305">
        <f t="shared" si="0"/>
        <v>1428891.7335228084</v>
      </c>
      <c r="AM40" s="452"/>
      <c r="AN40" s="452"/>
      <c r="AO40" s="452">
        <f t="shared" si="18"/>
        <v>28365.02694281091</v>
      </c>
    </row>
    <row r="41" spans="1:41" s="91" customFormat="1" ht="12.5" x14ac:dyDescent="0.25">
      <c r="A41" s="106">
        <v>31</v>
      </c>
      <c r="B41" s="292">
        <v>1076.6732841712219</v>
      </c>
      <c r="C41" s="292">
        <f t="shared" si="10"/>
        <v>776.67328417122189</v>
      </c>
      <c r="D41" s="292">
        <f t="shared" si="5"/>
        <v>1161.7380882818077</v>
      </c>
      <c r="E41" s="292">
        <f>3*U41/'TTS Design Calcs'!$I$97/'TTS Design Calcs'!$L$97/'TTS Design Calcs'!$O$97/'TTS Design Calcs'!$R$97</f>
        <v>85.064804110585783</v>
      </c>
      <c r="F41" s="292">
        <f t="shared" si="11"/>
        <v>836.45142356290148</v>
      </c>
      <c r="G41" s="292">
        <f t="shared" si="12"/>
        <v>325.2866647189062</v>
      </c>
      <c r="H41" s="292">
        <f t="shared" si="19"/>
        <v>836.45142356290148</v>
      </c>
      <c r="I41" s="292">
        <f t="shared" si="1"/>
        <v>652.43211037906315</v>
      </c>
      <c r="J41" s="292">
        <f t="shared" si="2"/>
        <v>184.01931318383834</v>
      </c>
      <c r="K41" s="292">
        <v>0</v>
      </c>
      <c r="L41" s="292">
        <f t="shared" si="13"/>
        <v>977.71877509796934</v>
      </c>
      <c r="M41" s="107">
        <v>2656.4236986645237</v>
      </c>
      <c r="N41" s="292">
        <v>479</v>
      </c>
      <c r="O41" s="107">
        <f t="shared" si="20"/>
        <v>2644.9700402028038</v>
      </c>
      <c r="P41" s="411">
        <v>1600</v>
      </c>
      <c r="Q41" s="107">
        <v>2500</v>
      </c>
      <c r="R41" s="107">
        <f t="shared" si="14"/>
        <v>7272.727272727273</v>
      </c>
      <c r="S41" s="292">
        <f t="shared" si="15"/>
        <v>545.66539923954383</v>
      </c>
      <c r="T41" s="107">
        <f>O41*'TTS Design Calcs'!$C$147*D41*3.785*1440/454000</f>
        <v>77159.08880805994</v>
      </c>
      <c r="U41" s="107">
        <v>101308.09858511035</v>
      </c>
      <c r="V41" s="107">
        <f t="shared" si="7"/>
        <v>154318.17761611988</v>
      </c>
      <c r="W41" s="107">
        <f t="shared" si="8"/>
        <v>20861.531418475464</v>
      </c>
      <c r="X41" s="107">
        <f>O41*'TTS Design Calcs'!$C$224*D41*3.785*1440/454000</f>
        <v>19363.25704849885</v>
      </c>
      <c r="Y41" s="107">
        <f t="shared" si="9"/>
        <v>3533.7944113510398</v>
      </c>
      <c r="Z41" s="107">
        <f>'TTS Design Calcs'!$C$269*(D41)/365</f>
        <v>139.5929734649728</v>
      </c>
      <c r="AA41" s="306">
        <f t="shared" si="16"/>
        <v>25.475717657357535</v>
      </c>
      <c r="AB41" s="293">
        <f>(L41-$A$121)*1440*'TTS Design Calcs'!$C$284</f>
        <v>54.104729603661255</v>
      </c>
      <c r="AC41" s="293">
        <f t="shared" si="17"/>
        <v>9.874113152668178</v>
      </c>
      <c r="AD41" s="107">
        <f>H41*'TTS Design Calcs'!$C$343</f>
        <v>11005.510027978451</v>
      </c>
      <c r="AE41" s="107">
        <f>H41*'TTS Design Calcs'!$C$352</f>
        <v>3668.5033426594846</v>
      </c>
      <c r="AF41" s="292">
        <f>H41*'TTS Design Calcs'!$C$309</f>
        <v>3821.9395815104881</v>
      </c>
      <c r="AG41" s="292">
        <f>H41*'TTS Design Calcs'!$C$317</f>
        <v>3821.9395815104881</v>
      </c>
      <c r="AH41" s="107">
        <f>H41*'TTS Design Calcs'!$C$326</f>
        <v>636.98993025174798</v>
      </c>
      <c r="AI41" s="302">
        <f>H41*'TTS Design Calcs'!$C$334</f>
        <v>636.98993025174798</v>
      </c>
      <c r="AJ41" s="304">
        <f>'TTS Design Calcs'!$C$381*H41</f>
        <v>1103303.3308874557</v>
      </c>
      <c r="AK41" s="304">
        <f>'TTS Design Calcs'!$C$390*D41</f>
        <v>319230.09223212395</v>
      </c>
      <c r="AL41" s="305">
        <f t="shared" si="0"/>
        <v>1422533.4231195797</v>
      </c>
      <c r="AM41" s="452"/>
      <c r="AN41" s="452"/>
      <c r="AO41" s="452">
        <f t="shared" si="18"/>
        <v>28163.067414941877</v>
      </c>
    </row>
    <row r="42" spans="1:41" s="91" customFormat="1" ht="12.5" x14ac:dyDescent="0.25">
      <c r="A42" s="106">
        <v>32</v>
      </c>
      <c r="B42" s="292">
        <v>1072.1731302768258</v>
      </c>
      <c r="C42" s="292">
        <f t="shared" si="10"/>
        <v>772.17313027682576</v>
      </c>
      <c r="D42" s="292">
        <f t="shared" si="5"/>
        <v>1156.7732966093056</v>
      </c>
      <c r="E42" s="292">
        <f>3*U42/'TTS Design Calcs'!$I$97/'TTS Design Calcs'!$L$97/'TTS Design Calcs'!$O$97/'TTS Design Calcs'!$R$97</f>
        <v>84.600166332479759</v>
      </c>
      <c r="F42" s="292">
        <f t="shared" si="11"/>
        <v>832.87677355869994</v>
      </c>
      <c r="G42" s="292">
        <f t="shared" si="12"/>
        <v>323.89652305060559</v>
      </c>
      <c r="H42" s="292">
        <f t="shared" si="19"/>
        <v>832.87677355870005</v>
      </c>
      <c r="I42" s="292">
        <f t="shared" si="1"/>
        <v>649.64388337578612</v>
      </c>
      <c r="J42" s="292">
        <f t="shared" si="2"/>
        <v>183.23289018291393</v>
      </c>
      <c r="K42" s="292">
        <v>0</v>
      </c>
      <c r="L42" s="292">
        <f t="shared" si="13"/>
        <v>973.54040642639166</v>
      </c>
      <c r="M42" s="107">
        <v>2648.9398854329229</v>
      </c>
      <c r="N42" s="292">
        <v>479</v>
      </c>
      <c r="O42" s="107">
        <f t="shared" si="20"/>
        <v>2638.0472246859122</v>
      </c>
      <c r="P42" s="411">
        <v>1600</v>
      </c>
      <c r="Q42" s="107">
        <v>2500</v>
      </c>
      <c r="R42" s="107">
        <f t="shared" si="14"/>
        <v>7272.727272727273</v>
      </c>
      <c r="S42" s="292">
        <f t="shared" si="15"/>
        <v>545.66539923954383</v>
      </c>
      <c r="T42" s="107">
        <f>O42*'TTS Design Calcs'!$C$147*D42*3.785*1440/454000</f>
        <v>76628.25316572476</v>
      </c>
      <c r="U42" s="107">
        <v>100754.73729399942</v>
      </c>
      <c r="V42" s="107">
        <f t="shared" si="7"/>
        <v>153256.50633144952</v>
      </c>
      <c r="W42" s="107">
        <f t="shared" si="8"/>
        <v>20718.009189251508</v>
      </c>
      <c r="X42" s="107">
        <f>O42*'TTS Design Calcs'!$C$224*D42*3.785*1440/454000</f>
        <v>19230.042580160451</v>
      </c>
      <c r="Y42" s="107">
        <f t="shared" si="9"/>
        <v>3509.4827708792823</v>
      </c>
      <c r="Z42" s="107">
        <f>'TTS Design Calcs'!$C$269*(D42)/365</f>
        <v>138.9964104021023</v>
      </c>
      <c r="AA42" s="306">
        <f t="shared" si="16"/>
        <v>25.366844898383668</v>
      </c>
      <c r="AB42" s="293">
        <f>(L42-$A$121)*1440*'TTS Design Calcs'!$C$284</f>
        <v>53.771155390481987</v>
      </c>
      <c r="AC42" s="293">
        <f t="shared" si="17"/>
        <v>9.8132358587629618</v>
      </c>
      <c r="AD42" s="107">
        <f>H42*'TTS Design Calcs'!$C$343</f>
        <v>10958.476996101743</v>
      </c>
      <c r="AE42" s="107">
        <f>H42*'TTS Design Calcs'!$C$352</f>
        <v>3652.8256653672483</v>
      </c>
      <c r="AF42" s="292">
        <f>H42*'TTS Design Calcs'!$C$309</f>
        <v>3805.6061807220599</v>
      </c>
      <c r="AG42" s="292">
        <f>H42*'TTS Design Calcs'!$C$317</f>
        <v>3805.6061807220599</v>
      </c>
      <c r="AH42" s="107">
        <f>H42*'TTS Design Calcs'!$C$326</f>
        <v>634.26769678700998</v>
      </c>
      <c r="AI42" s="302">
        <f>H42*'TTS Design Calcs'!$C$334</f>
        <v>634.26769678700998</v>
      </c>
      <c r="AJ42" s="304">
        <f>'TTS Design Calcs'!$C$381*H42</f>
        <v>1098588.2653794158</v>
      </c>
      <c r="AK42" s="304">
        <f>'TTS Design Calcs'!$C$390*D42</f>
        <v>317865.83386828721</v>
      </c>
      <c r="AL42" s="305">
        <f t="shared" si="0"/>
        <v>1416454.0992477031</v>
      </c>
      <c r="AM42" s="452"/>
      <c r="AN42" s="452"/>
      <c r="AO42" s="452">
        <f t="shared" si="18"/>
        <v>27969.312405489538</v>
      </c>
    </row>
    <row r="43" spans="1:41" s="91" customFormat="1" ht="12.5" x14ac:dyDescent="0.25">
      <c r="A43" s="106">
        <v>33</v>
      </c>
      <c r="B43" s="292">
        <v>1067.8673582347485</v>
      </c>
      <c r="C43" s="292">
        <f t="shared" si="10"/>
        <v>767.86735823474851</v>
      </c>
      <c r="D43" s="292">
        <f t="shared" si="5"/>
        <v>1152.0206146457956</v>
      </c>
      <c r="E43" s="292">
        <f>3*U43/'TTS Design Calcs'!$I$97/'TTS Design Calcs'!$L$97/'TTS Design Calcs'!$O$97/'TTS Design Calcs'!$R$97</f>
        <v>84.15325641104701</v>
      </c>
      <c r="F43" s="292">
        <f t="shared" si="11"/>
        <v>829.45484254497285</v>
      </c>
      <c r="G43" s="292">
        <f t="shared" si="12"/>
        <v>322.56577210082281</v>
      </c>
      <c r="H43" s="292">
        <f t="shared" si="19"/>
        <v>829.45484254497273</v>
      </c>
      <c r="I43" s="292">
        <f t="shared" si="1"/>
        <v>646.97477718507878</v>
      </c>
      <c r="J43" s="292">
        <f t="shared" si="2"/>
        <v>182.48006535989396</v>
      </c>
      <c r="K43" s="292">
        <v>0</v>
      </c>
      <c r="L43" s="292">
        <f t="shared" si="13"/>
        <v>969.54054928590153</v>
      </c>
      <c r="M43" s="107">
        <v>2641.6551396983914</v>
      </c>
      <c r="N43" s="292">
        <v>479</v>
      </c>
      <c r="O43" s="107">
        <f t="shared" si="20"/>
        <v>2631.3074591608806</v>
      </c>
      <c r="P43" s="411">
        <v>1600</v>
      </c>
      <c r="Q43" s="107">
        <v>2500</v>
      </c>
      <c r="R43" s="107">
        <f t="shared" si="14"/>
        <v>7272.727272727273</v>
      </c>
      <c r="S43" s="292">
        <f t="shared" si="15"/>
        <v>545.66539923954383</v>
      </c>
      <c r="T43" s="107">
        <f>O43*'TTS Design Calcs'!$C$147*D43*3.785*1440/454000</f>
        <v>76118.4528494962</v>
      </c>
      <c r="U43" s="107">
        <v>100222.48902924926</v>
      </c>
      <c r="V43" s="107">
        <f t="shared" si="7"/>
        <v>152236.9056989924</v>
      </c>
      <c r="W43" s="107">
        <f t="shared" si="8"/>
        <v>20580.174288937862</v>
      </c>
      <c r="X43" s="107">
        <f>O43*'TTS Design Calcs'!$C$224*D43*3.785*1440/454000</f>
        <v>19102.106976992618</v>
      </c>
      <c r="Y43" s="107">
        <f t="shared" si="9"/>
        <v>3486.134523301153</v>
      </c>
      <c r="Z43" s="107">
        <f>'TTS Design Calcs'!$C$269*(D43)/365</f>
        <v>138.42533417251863</v>
      </c>
      <c r="AA43" s="306">
        <f t="shared" si="16"/>
        <v>25.262623486484653</v>
      </c>
      <c r="AB43" s="293">
        <f>(L43-$A$121)*1440*'TTS Design Calcs'!$C$284</f>
        <v>53.451832395470952</v>
      </c>
      <c r="AC43" s="293">
        <f t="shared" si="17"/>
        <v>9.7549594121734486</v>
      </c>
      <c r="AD43" s="107">
        <f>H43*'TTS Design Calcs'!$C$343</f>
        <v>10913.453346161365</v>
      </c>
      <c r="AE43" s="107">
        <f>H43*'TTS Design Calcs'!$C$352</f>
        <v>3637.8177820537894</v>
      </c>
      <c r="AF43" s="292">
        <f>H43*'TTS Design Calcs'!$C$309</f>
        <v>3789.9705882439521</v>
      </c>
      <c r="AG43" s="292">
        <f>H43*'TTS Design Calcs'!$C$317</f>
        <v>3789.9705882439521</v>
      </c>
      <c r="AH43" s="107">
        <f>H43*'TTS Design Calcs'!$C$326</f>
        <v>631.66176470732535</v>
      </c>
      <c r="AI43" s="302">
        <f>H43*'TTS Design Calcs'!$C$334</f>
        <v>631.66176470732535</v>
      </c>
      <c r="AJ43" s="304">
        <f>'TTS Design Calcs'!$C$381*H43</f>
        <v>1094074.6405840502</v>
      </c>
      <c r="AK43" s="304">
        <f>'TTS Design Calcs'!$C$390*D43</f>
        <v>316559.86041621148</v>
      </c>
      <c r="AL43" s="305">
        <f t="shared" ref="AL43:AL74" si="21">SUM(AJ43,AK43)</f>
        <v>1410634.5010002616</v>
      </c>
      <c r="AM43" s="452"/>
      <c r="AN43" s="452"/>
      <c r="AO43" s="452">
        <f t="shared" si="18"/>
        <v>27783.235290066114</v>
      </c>
    </row>
    <row r="44" spans="1:41" s="91" customFormat="1" ht="12.5" x14ac:dyDescent="0.25">
      <c r="A44" s="106">
        <v>34</v>
      </c>
      <c r="B44" s="292">
        <v>1063.7359990944283</v>
      </c>
      <c r="C44" s="292">
        <f t="shared" si="10"/>
        <v>763.73599909442828</v>
      </c>
      <c r="D44" s="292">
        <f>K44+B44+E44</f>
        <v>1147.458271421094</v>
      </c>
      <c r="E44" s="292">
        <f>3*U44/'TTS Design Calcs'!$I$97/'TTS Design Calcs'!$L$97/'TTS Design Calcs'!$O$97/'TTS Design Calcs'!$R$97</f>
        <v>83.72227232666566</v>
      </c>
      <c r="F44" s="292">
        <f t="shared" si="11"/>
        <v>826.16995542318762</v>
      </c>
      <c r="G44" s="292">
        <f t="shared" si="12"/>
        <v>321.28831599790635</v>
      </c>
      <c r="H44" s="292">
        <f t="shared" si="19"/>
        <v>826.16995542318762</v>
      </c>
      <c r="I44" s="292">
        <f t="shared" si="1"/>
        <v>644.41256523008633</v>
      </c>
      <c r="J44" s="292">
        <f t="shared" si="2"/>
        <v>181.75739019310129</v>
      </c>
      <c r="K44" s="292">
        <v>0</v>
      </c>
      <c r="L44" s="292">
        <f t="shared" si="13"/>
        <v>965.70088122799268</v>
      </c>
      <c r="M44" s="107">
        <v>2634.54951962223</v>
      </c>
      <c r="N44" s="292">
        <v>479</v>
      </c>
      <c r="O44" s="107">
        <f t="shared" si="20"/>
        <v>2624.732350838146</v>
      </c>
      <c r="P44" s="411">
        <v>1600</v>
      </c>
      <c r="Q44" s="107">
        <v>2500</v>
      </c>
      <c r="R44" s="107">
        <f t="shared" si="14"/>
        <v>7272.727272727273</v>
      </c>
      <c r="S44" s="292">
        <f t="shared" si="15"/>
        <v>545.66539923954383</v>
      </c>
      <c r="T44" s="107">
        <f>O44*'TTS Design Calcs'!$C$147*D44*3.785*1440/454000</f>
        <v>75627.549762797149</v>
      </c>
      <c r="U44" s="107">
        <v>99709.207671987126</v>
      </c>
      <c r="V44" s="107">
        <f t="shared" si="7"/>
        <v>151255.0995255943</v>
      </c>
      <c r="W44" s="107">
        <f t="shared" si="8"/>
        <v>20447.448639571081</v>
      </c>
      <c r="X44" s="107">
        <f>O44*'TTS Design Calcs'!$C$224*D44*3.785*1440/454000</f>
        <v>18978.913678568621</v>
      </c>
      <c r="Y44" s="107">
        <f t="shared" si="9"/>
        <v>3463.6517463387731</v>
      </c>
      <c r="Z44" s="107">
        <f>'TTS Design Calcs'!$C$269*(D44)/365</f>
        <v>137.8771288040902</v>
      </c>
      <c r="AA44" s="306">
        <f t="shared" si="16"/>
        <v>25.162576006746463</v>
      </c>
      <c r="AB44" s="293">
        <f>(L44-$A$121)*1440*'TTS Design Calcs'!$C$284</f>
        <v>53.145297871603084</v>
      </c>
      <c r="AC44" s="293">
        <f t="shared" si="17"/>
        <v>9.6990168615675625</v>
      </c>
      <c r="AD44" s="107">
        <f>H44*'TTS Design Calcs'!$C$343</f>
        <v>10870.232834914468</v>
      </c>
      <c r="AE44" s="107">
        <f>H44*'TTS Design Calcs'!$C$352</f>
        <v>3623.4109449714902</v>
      </c>
      <c r="AF44" s="292">
        <f>H44*'TTS Design Calcs'!$C$309</f>
        <v>3774.9611809336416</v>
      </c>
      <c r="AG44" s="292">
        <f>H44*'TTS Design Calcs'!$C$317</f>
        <v>3774.9611809336416</v>
      </c>
      <c r="AH44" s="107">
        <f>H44*'TTS Design Calcs'!$C$326</f>
        <v>629.16019682227363</v>
      </c>
      <c r="AI44" s="302">
        <f>H44*'TTS Design Calcs'!$C$334</f>
        <v>629.16019682227363</v>
      </c>
      <c r="AJ44" s="304">
        <f>'TTS Design Calcs'!$C$381*H44</f>
        <v>1089741.7805984491</v>
      </c>
      <c r="AK44" s="304">
        <f>'TTS Design Calcs'!$C$390*D44</f>
        <v>315306.18950440543</v>
      </c>
      <c r="AL44" s="305">
        <f t="shared" si="21"/>
        <v>1405047.9701028545</v>
      </c>
      <c r="AM44" s="452"/>
      <c r="AN44" s="452"/>
      <c r="AO44" s="452">
        <f t="shared" si="18"/>
        <v>27604.055663420961</v>
      </c>
    </row>
    <row r="45" spans="1:41" s="91" customFormat="1" ht="12.5" x14ac:dyDescent="0.25">
      <c r="A45" s="106">
        <v>35</v>
      </c>
      <c r="B45" s="292">
        <v>1059.7719138869038</v>
      </c>
      <c r="C45" s="292">
        <f t="shared" si="10"/>
        <v>759.7719138869038</v>
      </c>
      <c r="D45" s="292">
        <f t="shared" si="5"/>
        <v>1143.0784938179731</v>
      </c>
      <c r="E45" s="292">
        <f>3*U45/'TTS Design Calcs'!$I$97/'TTS Design Calcs'!$L$97/'TTS Design Calcs'!$O$97/'TTS Design Calcs'!$R$97</f>
        <v>83.306579931069336</v>
      </c>
      <c r="F45" s="292">
        <f t="shared" si="11"/>
        <v>823.01651554894067</v>
      </c>
      <c r="G45" s="292">
        <f t="shared" si="12"/>
        <v>320.06197826903252</v>
      </c>
      <c r="H45" s="292">
        <f t="shared" si="19"/>
        <v>823.01651554894056</v>
      </c>
      <c r="I45" s="292">
        <f t="shared" si="1"/>
        <v>641.95288212817366</v>
      </c>
      <c r="J45" s="292">
        <f t="shared" si="2"/>
        <v>181.06363342076691</v>
      </c>
      <c r="K45" s="292">
        <v>0</v>
      </c>
      <c r="L45" s="292">
        <f t="shared" si="13"/>
        <v>962.01486039720612</v>
      </c>
      <c r="M45" s="107">
        <v>2627.619551061629</v>
      </c>
      <c r="N45" s="292">
        <v>479</v>
      </c>
      <c r="O45" s="107">
        <f t="shared" si="20"/>
        <v>2618.3187476708026</v>
      </c>
      <c r="P45" s="411">
        <v>1600</v>
      </c>
      <c r="Q45" s="107">
        <v>2500</v>
      </c>
      <c r="R45" s="107">
        <f t="shared" si="14"/>
        <v>7272.727272727273</v>
      </c>
      <c r="S45" s="292">
        <f t="shared" si="15"/>
        <v>545.66539923954372</v>
      </c>
      <c r="T45" s="107">
        <f>O45*'TTS Design Calcs'!$C$147*D45*3.785*1440/454000</f>
        <v>75154.791496841877</v>
      </c>
      <c r="U45" s="107">
        <v>99214.137982066866</v>
      </c>
      <c r="V45" s="107">
        <f t="shared" si="7"/>
        <v>150309.58299368375</v>
      </c>
      <c r="W45" s="107">
        <f t="shared" si="8"/>
        <v>20319.628812109098</v>
      </c>
      <c r="X45" s="107">
        <f>O45*'TTS Design Calcs'!$C$224*D45*3.785*1440/454000</f>
        <v>18860.273866112224</v>
      </c>
      <c r="Y45" s="107">
        <f t="shared" si="9"/>
        <v>3441.9999805654811</v>
      </c>
      <c r="Z45" s="107">
        <f>'TTS Design Calcs'!$C$269*(D45)/365</f>
        <v>137.35086028892155</v>
      </c>
      <c r="AA45" s="306">
        <f t="shared" si="16"/>
        <v>25.066532002728184</v>
      </c>
      <c r="AB45" s="293">
        <f>(L45-$A$121)*1440*'TTS Design Calcs'!$C$284</f>
        <v>52.851029559006399</v>
      </c>
      <c r="AC45" s="293">
        <f t="shared" si="17"/>
        <v>9.6453128945186677</v>
      </c>
      <c r="AD45" s="107">
        <f>H45*'TTS Design Calcs'!$C$343</f>
        <v>10828.741825178571</v>
      </c>
      <c r="AE45" s="107">
        <f>H45*'TTS Design Calcs'!$C$352</f>
        <v>3609.5806083928578</v>
      </c>
      <c r="AF45" s="292">
        <f>H45*'TTS Design Calcs'!$C$309</f>
        <v>3760.5523864313127</v>
      </c>
      <c r="AG45" s="292">
        <f>H45*'TTS Design Calcs'!$C$317</f>
        <v>3760.5523864313127</v>
      </c>
      <c r="AH45" s="107">
        <f>H45*'TTS Design Calcs'!$C$326</f>
        <v>626.75873107188545</v>
      </c>
      <c r="AI45" s="302">
        <f>H45*'TTS Design Calcs'!$C$334</f>
        <v>626.75873107188545</v>
      </c>
      <c r="AJ45" s="304">
        <f>'TTS Design Calcs'!$C$381*H45</f>
        <v>1085582.3032887084</v>
      </c>
      <c r="AK45" s="304">
        <f>'TTS Design Calcs'!$C$390*D45</f>
        <v>314102.68518419471</v>
      </c>
      <c r="AL45" s="305">
        <f t="shared" si="21"/>
        <v>1399684.9884729031</v>
      </c>
      <c r="AM45" s="452"/>
      <c r="AN45" s="452"/>
      <c r="AO45" s="452">
        <f t="shared" si="18"/>
        <v>27431.498896347286</v>
      </c>
    </row>
    <row r="46" spans="1:41" s="91" customFormat="1" ht="12.5" x14ac:dyDescent="0.25">
      <c r="A46" s="106">
        <v>36</v>
      </c>
      <c r="B46" s="292">
        <v>1055.9569124030404</v>
      </c>
      <c r="C46" s="292">
        <f t="shared" si="10"/>
        <v>755.95691240304041</v>
      </c>
      <c r="D46" s="292">
        <f t="shared" si="5"/>
        <v>1138.8615875111163</v>
      </c>
      <c r="E46" s="292">
        <f>3*U46/'TTS Design Calcs'!$I$97/'TTS Design Calcs'!$L$97/'TTS Design Calcs'!$O$97/'TTS Design Calcs'!$R$97</f>
        <v>82.904675108075949</v>
      </c>
      <c r="F46" s="292">
        <f t="shared" si="11"/>
        <v>819.98034300800373</v>
      </c>
      <c r="G46" s="292">
        <f t="shared" si="12"/>
        <v>318.88124450311261</v>
      </c>
      <c r="H46" s="292">
        <f t="shared" si="19"/>
        <v>819.98034300800373</v>
      </c>
      <c r="I46" s="292">
        <f t="shared" si="1"/>
        <v>639.58466754624294</v>
      </c>
      <c r="J46" s="292">
        <f t="shared" si="2"/>
        <v>180.39567546176079</v>
      </c>
      <c r="K46" s="292">
        <v>0</v>
      </c>
      <c r="L46" s="292">
        <f t="shared" si="13"/>
        <v>958.46591204935555</v>
      </c>
      <c r="M46" s="107">
        <v>2620.8519288908992</v>
      </c>
      <c r="N46" s="292">
        <v>479</v>
      </c>
      <c r="O46" s="107">
        <f t="shared" si="20"/>
        <v>2612.0543805226375</v>
      </c>
      <c r="P46" s="411">
        <v>1600</v>
      </c>
      <c r="Q46" s="107">
        <v>2500</v>
      </c>
      <c r="R46" s="107">
        <f t="shared" si="14"/>
        <v>7272.727272727273</v>
      </c>
      <c r="S46" s="292">
        <f t="shared" si="15"/>
        <v>545.66539923954383</v>
      </c>
      <c r="T46" s="107">
        <f>O46*'TTS Design Calcs'!$C$147*D46*3.785*1440/454000</f>
        <v>74698.393926307632</v>
      </c>
      <c r="U46" s="107">
        <v>98735.488629313259</v>
      </c>
      <c r="V46" s="107">
        <f t="shared" si="7"/>
        <v>149396.78785261526</v>
      </c>
      <c r="W46" s="107">
        <f t="shared" si="8"/>
        <v>20196.232431927619</v>
      </c>
      <c r="X46" s="107">
        <f>O46*'TTS Design Calcs'!$C$224*D46*3.785*1440/454000</f>
        <v>18745.739809125775</v>
      </c>
      <c r="Y46" s="107">
        <f t="shared" si="9"/>
        <v>3421.0975151654538</v>
      </c>
      <c r="Z46" s="107">
        <f>'TTS Design Calcs'!$C$269*(D46)/365</f>
        <v>136.84416218189131</v>
      </c>
      <c r="AA46" s="306">
        <f t="shared" si="16"/>
        <v>24.974059598195161</v>
      </c>
      <c r="AB46" s="293">
        <f>(L46-$A$121)*1440*'TTS Design Calcs'!$C$284</f>
        <v>52.567704236183438</v>
      </c>
      <c r="AC46" s="293">
        <f t="shared" si="17"/>
        <v>9.5936060231034777</v>
      </c>
      <c r="AD46" s="107">
        <f>H46*'TTS Design Calcs'!$C$343</f>
        <v>10788.793746420306</v>
      </c>
      <c r="AE46" s="107">
        <f>H46*'TTS Design Calcs'!$C$352</f>
        <v>3596.2645821401034</v>
      </c>
      <c r="AF46" s="292">
        <f>H46*'TTS Design Calcs'!$C$309</f>
        <v>3746.6794134365705</v>
      </c>
      <c r="AG46" s="292">
        <f>H46*'TTS Design Calcs'!$C$317</f>
        <v>3746.6794134365705</v>
      </c>
      <c r="AH46" s="107">
        <f>H46*'TTS Design Calcs'!$C$326</f>
        <v>624.44656890609508</v>
      </c>
      <c r="AI46" s="302">
        <f>H46*'TTS Design Calcs'!$C$334</f>
        <v>624.44656890609508</v>
      </c>
      <c r="AJ46" s="304">
        <f>'TTS Design Calcs'!$C$381*H46</f>
        <v>1081577.5049427436</v>
      </c>
      <c r="AK46" s="304">
        <f>'TTS Design Calcs'!$C$390*D46</f>
        <v>312943.93571832927</v>
      </c>
      <c r="AL46" s="305">
        <f t="shared" si="21"/>
        <v>1394521.4406610727</v>
      </c>
      <c r="AM46" s="452"/>
      <c r="AN46" s="452"/>
      <c r="AO46" s="452">
        <f t="shared" si="18"/>
        <v>27264.913783102285</v>
      </c>
    </row>
    <row r="47" spans="1:41" s="91" customFormat="1" ht="12.5" x14ac:dyDescent="0.25">
      <c r="A47" s="106">
        <v>37</v>
      </c>
      <c r="B47" s="292">
        <v>1052.2804779639605</v>
      </c>
      <c r="C47" s="292">
        <f t="shared" si="10"/>
        <v>752.28047796396049</v>
      </c>
      <c r="D47" s="292">
        <f t="shared" si="5"/>
        <v>1134.7959775258992</v>
      </c>
      <c r="E47" s="292">
        <f>3*U47/'TTS Design Calcs'!$I$97/'TTS Design Calcs'!$L$97/'TTS Design Calcs'!$O$97/'TTS Design Calcs'!$R$97</f>
        <v>82.515499561938626</v>
      </c>
      <c r="F47" s="292">
        <f t="shared" si="11"/>
        <v>817.0531038186474</v>
      </c>
      <c r="G47" s="292">
        <f t="shared" si="12"/>
        <v>317.74287370725182</v>
      </c>
      <c r="H47" s="292">
        <f t="shared" si="19"/>
        <v>817.05310381864729</v>
      </c>
      <c r="I47" s="292">
        <f t="shared" si="1"/>
        <v>637.30142097854491</v>
      </c>
      <c r="J47" s="292">
        <f t="shared" si="2"/>
        <v>179.75168284010238</v>
      </c>
      <c r="K47" s="292">
        <v>0</v>
      </c>
      <c r="L47" s="292">
        <f t="shared" si="13"/>
        <v>955.04429468579679</v>
      </c>
      <c r="M47" s="107">
        <v>2614.232400269887</v>
      </c>
      <c r="N47" s="292">
        <v>479</v>
      </c>
      <c r="O47" s="107">
        <f t="shared" si="20"/>
        <v>2605.9261110680345</v>
      </c>
      <c r="P47" s="411">
        <v>1600</v>
      </c>
      <c r="Q47" s="107">
        <v>2500</v>
      </c>
      <c r="R47" s="107">
        <f t="shared" si="14"/>
        <v>7272.727272727273</v>
      </c>
      <c r="S47" s="292">
        <f t="shared" si="15"/>
        <v>545.66539923954372</v>
      </c>
      <c r="T47" s="107">
        <f>O47*'TTS Design Calcs'!$C$147*D47*3.785*1440/454000</f>
        <v>74257.100970861036</v>
      </c>
      <c r="U47" s="107">
        <v>98271.999234289935</v>
      </c>
      <c r="V47" s="107">
        <f t="shared" si="7"/>
        <v>148514.20194172207</v>
      </c>
      <c r="W47" s="107">
        <f t="shared" si="8"/>
        <v>20076.919892121688</v>
      </c>
      <c r="X47" s="107">
        <f>O47*'TTS Design Calcs'!$C$224*D47*3.785*1440/454000</f>
        <v>18634.996291258933</v>
      </c>
      <c r="Y47" s="107">
        <f t="shared" si="9"/>
        <v>3400.8868231547553</v>
      </c>
      <c r="Z47" s="107">
        <f>'TTS Design Calcs'!$C$269*(D47)/365</f>
        <v>136.35564364874696</v>
      </c>
      <c r="AA47" s="306">
        <f t="shared" si="16"/>
        <v>24.884904965896318</v>
      </c>
      <c r="AB47" s="293">
        <f>(L47-$A$121)*1440*'TTS Design Calcs'!$C$284</f>
        <v>52.294544204228032</v>
      </c>
      <c r="AC47" s="293">
        <f t="shared" si="17"/>
        <v>9.5437543172716168</v>
      </c>
      <c r="AD47" s="107">
        <f>H47*'TTS Design Calcs'!$C$343</f>
        <v>10750.278945267206</v>
      </c>
      <c r="AE47" s="107">
        <f>H47*'TTS Design Calcs'!$C$352</f>
        <v>3583.4263150890692</v>
      </c>
      <c r="AF47" s="292">
        <f>H47*'TTS Design Calcs'!$C$309</f>
        <v>3733.3041820636649</v>
      </c>
      <c r="AG47" s="292">
        <f>H47*'TTS Design Calcs'!$C$317</f>
        <v>3733.3041820636649</v>
      </c>
      <c r="AH47" s="107">
        <f>H47*'TTS Design Calcs'!$C$326</f>
        <v>622.21736367727749</v>
      </c>
      <c r="AI47" s="302">
        <f>H47*'TTS Design Calcs'!$C$334</f>
        <v>622.21736367727749</v>
      </c>
      <c r="AJ47" s="304">
        <f>'TTS Design Calcs'!$C$381*H47</f>
        <v>1077716.3928004932</v>
      </c>
      <c r="AK47" s="304">
        <f>'TTS Design Calcs'!$C$390*D47</f>
        <v>311826.76045855944</v>
      </c>
      <c r="AL47" s="305">
        <f t="shared" si="21"/>
        <v>1389543.1532590527</v>
      </c>
      <c r="AM47" s="452"/>
      <c r="AN47" s="452"/>
      <c r="AO47" s="452">
        <f t="shared" si="18"/>
        <v>27103.84185436428</v>
      </c>
    </row>
    <row r="48" spans="1:41" s="91" customFormat="1" ht="12.5" x14ac:dyDescent="0.25">
      <c r="A48" s="106">
        <v>38</v>
      </c>
      <c r="B48" s="292">
        <v>1048.7355889520259</v>
      </c>
      <c r="C48" s="292">
        <f t="shared" si="10"/>
        <v>748.73558895202586</v>
      </c>
      <c r="D48" s="292">
        <f t="shared" ref="D48:D79" si="22">K48+B48+E48</f>
        <v>1130.8740789444789</v>
      </c>
      <c r="E48" s="292">
        <f>3*U48/'TTS Design Calcs'!$I$97/'TTS Design Calcs'!$L$97/'TTS Design Calcs'!$O$97/'TTS Design Calcs'!$R$97</f>
        <v>82.138489992452989</v>
      </c>
      <c r="F48" s="292">
        <f t="shared" si="11"/>
        <v>814.22933684002476</v>
      </c>
      <c r="G48" s="292">
        <f t="shared" si="12"/>
        <v>316.64474210445411</v>
      </c>
      <c r="H48" s="292">
        <f t="shared" si="19"/>
        <v>814.22933684002487</v>
      </c>
      <c r="I48" s="292">
        <f t="shared" ref="I48:I79" si="23">H48*$A$119</f>
        <v>635.09888273521938</v>
      </c>
      <c r="J48" s="292">
        <f t="shared" ref="J48:J79" si="24">H48-I48</f>
        <v>179.13045410480549</v>
      </c>
      <c r="K48" s="292">
        <v>0</v>
      </c>
      <c r="L48" s="292">
        <f t="shared" si="13"/>
        <v>951.74362483967343</v>
      </c>
      <c r="M48" s="107">
        <v>2607.7585786421055</v>
      </c>
      <c r="N48" s="292">
        <v>479</v>
      </c>
      <c r="O48" s="107">
        <f t="shared" si="20"/>
        <v>2599.9317771456408</v>
      </c>
      <c r="P48" s="411">
        <v>1600</v>
      </c>
      <c r="Q48" s="107">
        <v>2500</v>
      </c>
      <c r="R48" s="107">
        <f t="shared" si="14"/>
        <v>7272.727272727273</v>
      </c>
      <c r="S48" s="292">
        <f t="shared" si="15"/>
        <v>545.66539923954372</v>
      </c>
      <c r="T48" s="107">
        <f>O48*'TTS Design Calcs'!$C$147*D48*3.785*1440/454000</f>
        <v>73830.24451291743</v>
      </c>
      <c r="U48" s="107">
        <v>97822.998933491865</v>
      </c>
      <c r="V48" s="107">
        <f t="shared" si="7"/>
        <v>147660.48902583486</v>
      </c>
      <c r="W48" s="107">
        <f t="shared" si="8"/>
        <v>19961.510553492491</v>
      </c>
      <c r="X48" s="107">
        <f>O48*'TTS Design Calcs'!$C$224*D48*3.785*1440/454000</f>
        <v>18527.875646813092</v>
      </c>
      <c r="Y48" s="107">
        <f t="shared" si="9"/>
        <v>3381.337305543389</v>
      </c>
      <c r="Z48" s="107">
        <f>'TTS Design Calcs'!$C$269*(D48)/365</f>
        <v>135.88439329539216</v>
      </c>
      <c r="AA48" s="306">
        <f t="shared" si="16"/>
        <v>24.798901776409068</v>
      </c>
      <c r="AB48" s="293">
        <f>(L48-$A$121)*1440*'TTS Design Calcs'!$C$284</f>
        <v>52.03103984800056</v>
      </c>
      <c r="AC48" s="293">
        <f t="shared" si="17"/>
        <v>9.4956647722601026</v>
      </c>
      <c r="AD48" s="107">
        <f>H48*'TTS Design Calcs'!$C$343</f>
        <v>10713.125567408717</v>
      </c>
      <c r="AE48" s="107">
        <f>H48*'TTS Design Calcs'!$C$352</f>
        <v>3571.0418558029064</v>
      </c>
      <c r="AF48" s="292">
        <f>H48*'TTS Design Calcs'!$C$309</f>
        <v>3720.4017390998056</v>
      </c>
      <c r="AG48" s="292">
        <f>H48*'TTS Design Calcs'!$C$317</f>
        <v>3720.4017390998056</v>
      </c>
      <c r="AH48" s="107">
        <f>H48*'TTS Design Calcs'!$C$326</f>
        <v>620.06695651663426</v>
      </c>
      <c r="AI48" s="302">
        <f>H48*'TTS Design Calcs'!$C$334</f>
        <v>620.06695651663426</v>
      </c>
      <c r="AJ48" s="304">
        <f>'TTS Design Calcs'!$C$381*H48</f>
        <v>1073991.7634611186</v>
      </c>
      <c r="AK48" s="304">
        <f>'TTS Design Calcs'!$C$390*D48</f>
        <v>310749.07517088542</v>
      </c>
      <c r="AL48" s="305">
        <f t="shared" si="21"/>
        <v>1384740.8386320039</v>
      </c>
      <c r="AM48" s="452"/>
      <c r="AN48" s="452"/>
      <c r="AO48" s="452">
        <f t="shared" si="18"/>
        <v>26948.03924721486</v>
      </c>
    </row>
    <row r="49" spans="1:41" s="91" customFormat="1" ht="12.5" x14ac:dyDescent="0.25">
      <c r="A49" s="106">
        <v>39</v>
      </c>
      <c r="B49" s="292">
        <v>1045.3123112856306</v>
      </c>
      <c r="C49" s="292">
        <f t="shared" si="10"/>
        <v>745.31231128563059</v>
      </c>
      <c r="D49" s="292">
        <f t="shared" si="22"/>
        <v>1127.0850462465812</v>
      </c>
      <c r="E49" s="292">
        <f>3*U49/'TTS Design Calcs'!$I$97/'TTS Design Calcs'!$L$97/'TTS Design Calcs'!$O$97/'TTS Design Calcs'!$R$97</f>
        <v>81.772734960950714</v>
      </c>
      <c r="F49" s="292">
        <f t="shared" si="11"/>
        <v>811.50123329753842</v>
      </c>
      <c r="G49" s="292">
        <f t="shared" si="12"/>
        <v>315.58381294904279</v>
      </c>
      <c r="H49" s="292">
        <f t="shared" si="19"/>
        <v>811.50123329753842</v>
      </c>
      <c r="I49" s="292">
        <f t="shared" si="23"/>
        <v>632.97096197207998</v>
      </c>
      <c r="J49" s="292">
        <f t="shared" si="24"/>
        <v>178.53027132545844</v>
      </c>
      <c r="K49" s="292">
        <v>0</v>
      </c>
      <c r="L49" s="292">
        <f t="shared" si="13"/>
        <v>948.55477492112277</v>
      </c>
      <c r="M49" s="107">
        <v>2601.4200910763529</v>
      </c>
      <c r="N49" s="292">
        <v>479</v>
      </c>
      <c r="O49" s="107">
        <f t="shared" si="20"/>
        <v>2594.06181917405</v>
      </c>
      <c r="P49" s="411">
        <v>1600</v>
      </c>
      <c r="Q49" s="107">
        <v>2500</v>
      </c>
      <c r="R49" s="107">
        <f t="shared" si="14"/>
        <v>7272.727272727273</v>
      </c>
      <c r="S49" s="292">
        <f t="shared" si="15"/>
        <v>545.66539923954383</v>
      </c>
      <c r="T49" s="107">
        <f>O49*'TTS Design Calcs'!$C$147*D49*3.785*1440/454000</f>
        <v>73416.743068495314</v>
      </c>
      <c r="U49" s="107">
        <v>97387.402247214195</v>
      </c>
      <c r="V49" s="107">
        <f t="shared" si="7"/>
        <v>146833.48613699063</v>
      </c>
      <c r="W49" s="107">
        <f t="shared" si="8"/>
        <v>19849.712014815399</v>
      </c>
      <c r="X49" s="107">
        <f>O49*'TTS Design Calcs'!$C$224*D49*3.785*1440/454000</f>
        <v>18424.106474808108</v>
      </c>
      <c r="Y49" s="107">
        <f t="shared" si="9"/>
        <v>3362.39943165248</v>
      </c>
      <c r="Z49" s="107">
        <f>'TTS Design Calcs'!$C$269*(D49)/365</f>
        <v>135.42910793788289</v>
      </c>
      <c r="AA49" s="306">
        <f t="shared" si="16"/>
        <v>24.715812198663627</v>
      </c>
      <c r="AB49" s="293">
        <f>(L49-$A$121)*1440*'TTS Design Calcs'!$C$284</f>
        <v>51.77646247914295</v>
      </c>
      <c r="AC49" s="293">
        <f t="shared" si="17"/>
        <v>9.4492044024435895</v>
      </c>
      <c r="AD49" s="107">
        <f>H49*'TTS Design Calcs'!$C$343</f>
        <v>10677.230869822683</v>
      </c>
      <c r="AE49" s="107">
        <f>H49*'TTS Design Calcs'!$C$352</f>
        <v>3559.0769566075619</v>
      </c>
      <c r="AF49" s="292">
        <f>H49*'TTS Design Calcs'!$C$309</f>
        <v>3707.9364044518293</v>
      </c>
      <c r="AG49" s="292">
        <f>H49*'TTS Design Calcs'!$C$317</f>
        <v>3707.9364044518293</v>
      </c>
      <c r="AH49" s="107">
        <f>H49*'TTS Design Calcs'!$C$326</f>
        <v>617.98940074197151</v>
      </c>
      <c r="AI49" s="302">
        <f>H49*'TTS Design Calcs'!$C$334</f>
        <v>617.98940074197151</v>
      </c>
      <c r="AJ49" s="304">
        <f>'TTS Design Calcs'!$C$381*H49</f>
        <v>1070393.3169277739</v>
      </c>
      <c r="AK49" s="304">
        <f>'TTS Design Calcs'!$C$390*D49</f>
        <v>309707.89965135901</v>
      </c>
      <c r="AL49" s="305">
        <f t="shared" si="21"/>
        <v>1380101.2165791329</v>
      </c>
      <c r="AM49" s="452"/>
      <c r="AN49" s="452"/>
      <c r="AO49" s="452">
        <f t="shared" si="18"/>
        <v>26797.111220000788</v>
      </c>
    </row>
    <row r="50" spans="1:41" s="91" customFormat="1" ht="12.5" x14ac:dyDescent="0.25">
      <c r="A50" s="106">
        <v>40</v>
      </c>
      <c r="B50" s="292">
        <v>1042.0050029475362</v>
      </c>
      <c r="C50" s="292">
        <f t="shared" si="10"/>
        <v>742.00500294753624</v>
      </c>
      <c r="D50" s="292">
        <f t="shared" si="22"/>
        <v>1123.4227168218526</v>
      </c>
      <c r="E50" s="292">
        <f>3*U50/'TTS Design Calcs'!$I$97/'TTS Design Calcs'!$L$97/'TTS Design Calcs'!$O$97/'TTS Design Calcs'!$R$97</f>
        <v>81.417713874316476</v>
      </c>
      <c r="F50" s="292">
        <f t="shared" si="11"/>
        <v>808.86435611173385</v>
      </c>
      <c r="G50" s="292">
        <f t="shared" si="12"/>
        <v>314.55836071011879</v>
      </c>
      <c r="H50" s="292">
        <f t="shared" si="19"/>
        <v>808.86435611173385</v>
      </c>
      <c r="I50" s="292">
        <f t="shared" si="23"/>
        <v>630.91419776715247</v>
      </c>
      <c r="J50" s="292">
        <f t="shared" si="24"/>
        <v>177.95015834458138</v>
      </c>
      <c r="K50" s="292">
        <v>0</v>
      </c>
      <c r="L50" s="292">
        <f t="shared" si="13"/>
        <v>945.47255847727126</v>
      </c>
      <c r="M50" s="107">
        <v>2595.2121825715844</v>
      </c>
      <c r="N50" s="292">
        <v>479</v>
      </c>
      <c r="O50" s="107">
        <f t="shared" si="20"/>
        <v>2588.3118785970551</v>
      </c>
      <c r="P50" s="411">
        <v>1600</v>
      </c>
      <c r="Q50" s="107">
        <v>2500</v>
      </c>
      <c r="R50" s="107">
        <f t="shared" si="14"/>
        <v>7272.727272727273</v>
      </c>
      <c r="S50" s="292">
        <f t="shared" si="15"/>
        <v>545.66539923954383</v>
      </c>
      <c r="T50" s="107">
        <f>O50*'TTS Design Calcs'!$C$147*D50*3.785*1440/454000</f>
        <v>73015.978894534361</v>
      </c>
      <c r="U50" s="107">
        <v>96964.589174044959</v>
      </c>
      <c r="V50" s="107">
        <f t="shared" si="7"/>
        <v>146031.95778906872</v>
      </c>
      <c r="W50" s="107">
        <f t="shared" si="8"/>
        <v>19741.357256670402</v>
      </c>
      <c r="X50" s="107">
        <f>O50*'TTS Design Calcs'!$C$224*D50*3.785*1440/454000</f>
        <v>18323.533751152194</v>
      </c>
      <c r="Y50" s="107">
        <f t="shared" si="9"/>
        <v>3344.044909585275</v>
      </c>
      <c r="Z50" s="107">
        <f>'TTS Design Calcs'!$C$269*(D50)/365</f>
        <v>134.98904708478454</v>
      </c>
      <c r="AA50" s="306">
        <f t="shared" si="16"/>
        <v>24.635501092973179</v>
      </c>
      <c r="AB50" s="293">
        <f>(L50-$A$121)*1440*'TTS Design Calcs'!$C$284</f>
        <v>51.53039804445109</v>
      </c>
      <c r="AC50" s="293">
        <f t="shared" si="17"/>
        <v>9.404297643112324</v>
      </c>
      <c r="AD50" s="107">
        <f>H50*'TTS Design Calcs'!$C$343</f>
        <v>10642.536472164409</v>
      </c>
      <c r="AE50" s="107">
        <f>H50*'TTS Design Calcs'!$C$352</f>
        <v>3547.5121573881374</v>
      </c>
      <c r="AF50" s="292">
        <f>H50*'TTS Design Calcs'!$C$309</f>
        <v>3695.8879040797683</v>
      </c>
      <c r="AG50" s="292">
        <f>H50*'TTS Design Calcs'!$C$317</f>
        <v>3695.8879040797683</v>
      </c>
      <c r="AH50" s="107">
        <f>H50*'TTS Design Calcs'!$C$326</f>
        <v>615.98131734662809</v>
      </c>
      <c r="AI50" s="302">
        <f>H50*'TTS Design Calcs'!$C$334</f>
        <v>615.98131734662809</v>
      </c>
      <c r="AJ50" s="304">
        <f>'TTS Design Calcs'!$C$381*H50</f>
        <v>1066915.2005658611</v>
      </c>
      <c r="AK50" s="304">
        <f>'TTS Design Calcs'!$C$390*D50</f>
        <v>308701.54049705976</v>
      </c>
      <c r="AL50" s="305">
        <f t="shared" si="21"/>
        <v>1375616.7410629208</v>
      </c>
      <c r="AM50" s="452"/>
      <c r="AN50" s="452"/>
      <c r="AO50" s="452">
        <f t="shared" si="18"/>
        <v>26650.832296505043</v>
      </c>
    </row>
    <row r="51" spans="1:41" s="91" customFormat="1" ht="15" customHeight="1" x14ac:dyDescent="0.25">
      <c r="A51" s="106">
        <v>41</v>
      </c>
      <c r="B51" s="292">
        <v>1038.8067096306538</v>
      </c>
      <c r="C51" s="292">
        <f t="shared" si="10"/>
        <v>738.80670963065381</v>
      </c>
      <c r="D51" s="292">
        <f t="shared" si="22"/>
        <v>1119.8795355764864</v>
      </c>
      <c r="E51" s="292">
        <f>3*U51/'TTS Design Calcs'!$I$97/'TTS Design Calcs'!$L$97/'TTS Design Calcs'!$O$97/'TTS Design Calcs'!$R$97</f>
        <v>81.072825945832605</v>
      </c>
      <c r="F51" s="292">
        <f t="shared" si="11"/>
        <v>806.31326561507024</v>
      </c>
      <c r="G51" s="292">
        <f t="shared" si="12"/>
        <v>313.56626996141625</v>
      </c>
      <c r="H51" s="292">
        <f t="shared" si="19"/>
        <v>806.31326561507012</v>
      </c>
      <c r="I51" s="292">
        <f t="shared" si="23"/>
        <v>628.9243471797547</v>
      </c>
      <c r="J51" s="292">
        <f t="shared" si="24"/>
        <v>177.38891843531542</v>
      </c>
      <c r="K51" s="292">
        <v>0</v>
      </c>
      <c r="L51" s="292">
        <f t="shared" si="13"/>
        <v>942.49061714117101</v>
      </c>
      <c r="M51" s="107">
        <v>2589.1296343671552</v>
      </c>
      <c r="N51" s="292">
        <v>479</v>
      </c>
      <c r="O51" s="107">
        <f t="shared" si="20"/>
        <v>2582.6771623787781</v>
      </c>
      <c r="P51" s="411">
        <v>1600</v>
      </c>
      <c r="Q51" s="107">
        <v>2500</v>
      </c>
      <c r="R51" s="107">
        <f t="shared" si="14"/>
        <v>7272.727272727273</v>
      </c>
      <c r="S51" s="292">
        <f t="shared" si="15"/>
        <v>545.66539923954383</v>
      </c>
      <c r="T51" s="107">
        <f>O51*'TTS Design Calcs'!$C$147*D51*3.785*1440/454000</f>
        <v>72627.239243423523</v>
      </c>
      <c r="U51" s="107">
        <v>96553.844205841233</v>
      </c>
      <c r="V51" s="107">
        <f t="shared" si="7"/>
        <v>145254.47848684705</v>
      </c>
      <c r="W51" s="107">
        <f t="shared" si="8"/>
        <v>19636.253573221915</v>
      </c>
      <c r="X51" s="107">
        <f>O51*'TTS Design Calcs'!$C$224*D51*3.785*1440/454000</f>
        <v>18225.978610135331</v>
      </c>
      <c r="Y51" s="107">
        <f t="shared" si="9"/>
        <v>3326.2410963496982</v>
      </c>
      <c r="Z51" s="107">
        <f>'TTS Design Calcs'!$C$269*(D51)/365</f>
        <v>134.5633029256191</v>
      </c>
      <c r="AA51" s="306">
        <f t="shared" si="16"/>
        <v>24.557802783925485</v>
      </c>
      <c r="AB51" s="293">
        <f>(L51-$A$121)*1440*'TTS Design Calcs'!$C$284</f>
        <v>51.292338932601396</v>
      </c>
      <c r="AC51" s="293">
        <f t="shared" si="17"/>
        <v>9.3608518551997548</v>
      </c>
      <c r="AD51" s="107">
        <f>H51*'TTS Design Calcs'!$C$343</f>
        <v>10608.970802655806</v>
      </c>
      <c r="AE51" s="107">
        <f>H51*'TTS Design Calcs'!$C$352</f>
        <v>3536.3236008852696</v>
      </c>
      <c r="AF51" s="292">
        <f>H51*'TTS Design Calcs'!$C$309</f>
        <v>3684.2313828873203</v>
      </c>
      <c r="AG51" s="292">
        <f>H51*'TTS Design Calcs'!$C$317</f>
        <v>3684.2313828873203</v>
      </c>
      <c r="AH51" s="107">
        <f>H51*'TTS Design Calcs'!$C$326</f>
        <v>614.03856381455341</v>
      </c>
      <c r="AI51" s="302">
        <f>H51*'TTS Design Calcs'!$C$334</f>
        <v>614.03856381455341</v>
      </c>
      <c r="AJ51" s="304">
        <f>'TTS Design Calcs'!$C$381*H51</f>
        <v>1063550.2392984447</v>
      </c>
      <c r="AK51" s="304">
        <f>'TTS Design Calcs'!$C$390*D51</f>
        <v>307727.92166923411</v>
      </c>
      <c r="AL51" s="305">
        <f t="shared" si="21"/>
        <v>1371278.1609676788</v>
      </c>
      <c r="AM51" s="452"/>
      <c r="AN51" s="452"/>
      <c r="AO51" s="452">
        <f t="shared" si="18"/>
        <v>26508.942323849584</v>
      </c>
    </row>
    <row r="52" spans="1:41" s="91" customFormat="1" ht="15" customHeight="1" x14ac:dyDescent="0.25">
      <c r="A52" s="106">
        <v>42</v>
      </c>
      <c r="B52" s="292">
        <v>1035.7132331182645</v>
      </c>
      <c r="C52" s="292">
        <f t="shared" si="10"/>
        <v>735.7132331182645</v>
      </c>
      <c r="D52" s="292">
        <f t="shared" si="22"/>
        <v>1116.4509162633585</v>
      </c>
      <c r="E52" s="292">
        <f>3*U52/'TTS Design Calcs'!$I$97/'TTS Design Calcs'!$L$97/'TTS Design Calcs'!$O$97/'TTS Design Calcs'!$R$97</f>
        <v>80.73768314509401</v>
      </c>
      <c r="F52" s="292">
        <f t="shared" si="11"/>
        <v>803.8446597096181</v>
      </c>
      <c r="G52" s="292">
        <f t="shared" si="12"/>
        <v>312.60625655374042</v>
      </c>
      <c r="H52" s="292">
        <f t="shared" si="19"/>
        <v>803.8446597096181</v>
      </c>
      <c r="I52" s="292">
        <f t="shared" si="23"/>
        <v>626.99883457350211</v>
      </c>
      <c r="J52" s="292">
        <f t="shared" si="24"/>
        <v>176.84582513611599</v>
      </c>
      <c r="K52" s="292">
        <v>0</v>
      </c>
      <c r="L52" s="292">
        <f t="shared" si="13"/>
        <v>939.60509112724253</v>
      </c>
      <c r="M52" s="107">
        <v>2583.1692313286826</v>
      </c>
      <c r="N52" s="292">
        <v>479</v>
      </c>
      <c r="O52" s="107">
        <f t="shared" si="20"/>
        <v>2577.1547340063012</v>
      </c>
      <c r="P52" s="411">
        <v>1600</v>
      </c>
      <c r="Q52" s="107">
        <v>2500</v>
      </c>
      <c r="R52" s="107">
        <f t="shared" si="14"/>
        <v>7272.727272727273</v>
      </c>
      <c r="S52" s="292">
        <f t="shared" si="15"/>
        <v>545.66539923954372</v>
      </c>
      <c r="T52" s="107">
        <f>O52*'TTS Design Calcs'!$C$147*D52*3.785*1440/454000</f>
        <v>72250.063665147929</v>
      </c>
      <c r="U52" s="107">
        <v>96154.705217015988</v>
      </c>
      <c r="V52" s="107">
        <f t="shared" si="7"/>
        <v>144500.12733029586</v>
      </c>
      <c r="W52" s="107">
        <f t="shared" si="8"/>
        <v>19534.276472428886</v>
      </c>
      <c r="X52" s="107">
        <f>O52*'TTS Design Calcs'!$C$224*D52*3.785*1440/454000</f>
        <v>18131.325500729981</v>
      </c>
      <c r="Y52" s="107">
        <f t="shared" si="9"/>
        <v>3308.9669038832217</v>
      </c>
      <c r="Z52" s="107">
        <f>'TTS Design Calcs'!$C$269*(D52)/365</f>
        <v>134.15132438275594</v>
      </c>
      <c r="AA52" s="306">
        <f t="shared" si="16"/>
        <v>24.482616699852958</v>
      </c>
      <c r="AB52" s="293">
        <f>(L52-$A$121)*1440*'TTS Design Calcs'!$C$284</f>
        <v>51.061977003015834</v>
      </c>
      <c r="AC52" s="293">
        <f t="shared" si="17"/>
        <v>9.3188108030503898</v>
      </c>
      <c r="AD52" s="107">
        <f>H52*'TTS Design Calcs'!$C$343</f>
        <v>10576.490414336477</v>
      </c>
      <c r="AE52" s="107">
        <f>H52*'TTS Design Calcs'!$C$352</f>
        <v>3525.4968047788266</v>
      </c>
      <c r="AF52" s="292">
        <f>H52*'TTS Design Calcs'!$C$309</f>
        <v>3672.9517528270239</v>
      </c>
      <c r="AG52" s="292">
        <f>H52*'TTS Design Calcs'!$C$317</f>
        <v>3672.9517528270239</v>
      </c>
      <c r="AH52" s="107">
        <f>H52*'TTS Design Calcs'!$C$326</f>
        <v>612.15862547117069</v>
      </c>
      <c r="AI52" s="302">
        <f>H52*'TTS Design Calcs'!$C$334</f>
        <v>612.15862547117069</v>
      </c>
      <c r="AJ52" s="304">
        <f>'TTS Design Calcs'!$C$381*H52</f>
        <v>1060294.0775639925</v>
      </c>
      <c r="AK52" s="304">
        <f>'TTS Design Calcs'!$C$390*D52</f>
        <v>306785.78292849829</v>
      </c>
      <c r="AL52" s="305">
        <f t="shared" si="21"/>
        <v>1367079.8604924907</v>
      </c>
      <c r="AM52" s="452"/>
      <c r="AN52" s="452"/>
      <c r="AO52" s="452">
        <f t="shared" si="18"/>
        <v>26371.273237778994</v>
      </c>
    </row>
    <row r="53" spans="1:41" s="91" customFormat="1" ht="15" customHeight="1" x14ac:dyDescent="0.25">
      <c r="A53" s="106">
        <v>43</v>
      </c>
      <c r="B53" s="292">
        <v>1032.719611061219</v>
      </c>
      <c r="C53" s="292">
        <f t="shared" si="10"/>
        <v>732.71961106121898</v>
      </c>
      <c r="D53" s="292">
        <f t="shared" si="22"/>
        <v>1113.1313874644914</v>
      </c>
      <c r="E53" s="292">
        <f>3*U53/'TTS Design Calcs'!$I$97/'TTS Design Calcs'!$L$97/'TTS Design Calcs'!$O$97/'TTS Design Calcs'!$R$97</f>
        <v>80.411776403272412</v>
      </c>
      <c r="F53" s="292">
        <f t="shared" si="11"/>
        <v>801.45459897443379</v>
      </c>
      <c r="G53" s="292">
        <f t="shared" si="12"/>
        <v>311.67678849005762</v>
      </c>
      <c r="H53" s="292">
        <f t="shared" si="19"/>
        <v>801.45459897443379</v>
      </c>
      <c r="I53" s="292">
        <f t="shared" si="23"/>
        <v>625.13458720005838</v>
      </c>
      <c r="J53" s="292">
        <f t="shared" si="24"/>
        <v>176.32001177437542</v>
      </c>
      <c r="K53" s="292">
        <v>0</v>
      </c>
      <c r="L53" s="292">
        <f t="shared" si="13"/>
        <v>936.81137569011594</v>
      </c>
      <c r="M53" s="107">
        <v>2577.3242018412543</v>
      </c>
      <c r="N53" s="292">
        <v>479</v>
      </c>
      <c r="O53" s="107">
        <f t="shared" si="20"/>
        <v>2571.7383595058013</v>
      </c>
      <c r="P53" s="411">
        <v>1600</v>
      </c>
      <c r="Q53" s="107">
        <v>2500</v>
      </c>
      <c r="R53" s="107">
        <f t="shared" si="14"/>
        <v>7272.727272727273</v>
      </c>
      <c r="S53" s="292">
        <f t="shared" si="15"/>
        <v>545.66539923954383</v>
      </c>
      <c r="T53" s="107">
        <f>O53*'TTS Design Calcs'!$C$147*D53*3.785*1440/454000</f>
        <v>71883.847914932776</v>
      </c>
      <c r="U53" s="107">
        <v>95766.565931030083</v>
      </c>
      <c r="V53" s="107">
        <f t="shared" si="7"/>
        <v>143767.69582986555</v>
      </c>
      <c r="W53" s="107">
        <f t="shared" si="8"/>
        <v>19435.262584407752</v>
      </c>
      <c r="X53" s="107">
        <f>O53*'TTS Design Calcs'!$C$224*D53*3.785*1440/454000</f>
        <v>18039.422786271225</v>
      </c>
      <c r="Y53" s="107">
        <f t="shared" si="9"/>
        <v>3292.1946584944985</v>
      </c>
      <c r="Z53" s="107">
        <f>'TTS Design Calcs'!$C$269*(D53)/365</f>
        <v>133.75245401755876</v>
      </c>
      <c r="AA53" s="306">
        <f t="shared" si="16"/>
        <v>24.409822858204475</v>
      </c>
      <c r="AB53" s="293">
        <f>(L53-$A$121)*1440*'TTS Design Calcs'!$C$284</f>
        <v>50.838944642294443</v>
      </c>
      <c r="AC53" s="293">
        <f t="shared" si="17"/>
        <v>9.2781073972187347</v>
      </c>
      <c r="AD53" s="107">
        <f>H53*'TTS Design Calcs'!$C$343</f>
        <v>10545.043474744329</v>
      </c>
      <c r="AE53" s="107">
        <f>H53*'TTS Design Calcs'!$C$352</f>
        <v>3515.014491581444</v>
      </c>
      <c r="AF53" s="292">
        <f>H53*'TTS Design Calcs'!$C$309</f>
        <v>3662.0310137754896</v>
      </c>
      <c r="AG53" s="292">
        <f>H53*'TTS Design Calcs'!$C$317</f>
        <v>3662.0310137754896</v>
      </c>
      <c r="AH53" s="107">
        <f>H53*'TTS Design Calcs'!$C$326</f>
        <v>610.33850229591496</v>
      </c>
      <c r="AI53" s="302">
        <f>H53*'TTS Design Calcs'!$C$334</f>
        <v>610.33850229591496</v>
      </c>
      <c r="AJ53" s="304">
        <f>'TTS Design Calcs'!$C$381*H53</f>
        <v>1057141.5191537025</v>
      </c>
      <c r="AK53" s="304">
        <f>'TTS Design Calcs'!$C$390*D53</f>
        <v>305873.6208023543</v>
      </c>
      <c r="AL53" s="305">
        <f t="shared" si="21"/>
        <v>1363015.1399560568</v>
      </c>
      <c r="AM53" s="452"/>
      <c r="AN53" s="452"/>
      <c r="AO53" s="452">
        <f t="shared" si="18"/>
        <v>26237.604488950466</v>
      </c>
    </row>
    <row r="54" spans="1:41" s="91" customFormat="1" ht="15" customHeight="1" x14ac:dyDescent="0.25">
      <c r="A54" s="106">
        <v>44</v>
      </c>
      <c r="B54" s="292">
        <v>1029.8214497745671</v>
      </c>
      <c r="C54" s="292">
        <f t="shared" si="10"/>
        <v>729.8214497745671</v>
      </c>
      <c r="D54" s="292">
        <f t="shared" si="22"/>
        <v>1109.9161952366242</v>
      </c>
      <c r="E54" s="292">
        <f>3*U54/'TTS Design Calcs'!$I$97/'TTS Design Calcs'!$L$97/'TTS Design Calcs'!$O$97/'TTS Design Calcs'!$R$97</f>
        <v>80.094745462057105</v>
      </c>
      <c r="F54" s="292">
        <f t="shared" si="11"/>
        <v>799.13966057036941</v>
      </c>
      <c r="G54" s="292">
        <f t="shared" si="12"/>
        <v>310.7765346662548</v>
      </c>
      <c r="H54" s="292">
        <f t="shared" si="19"/>
        <v>799.13966057036941</v>
      </c>
      <c r="I54" s="292">
        <f t="shared" si="23"/>
        <v>623.32893524488816</v>
      </c>
      <c r="J54" s="292">
        <f t="shared" si="24"/>
        <v>175.81072532548126</v>
      </c>
      <c r="K54" s="292">
        <v>0</v>
      </c>
      <c r="L54" s="292">
        <f t="shared" si="13"/>
        <v>934.10546991114302</v>
      </c>
      <c r="M54" s="107">
        <v>2571.592573405328</v>
      </c>
      <c r="N54" s="292">
        <v>479</v>
      </c>
      <c r="O54" s="107">
        <f t="shared" si="20"/>
        <v>2566.4262473633416</v>
      </c>
      <c r="P54" s="411">
        <v>1600</v>
      </c>
      <c r="Q54" s="107">
        <v>2500</v>
      </c>
      <c r="R54" s="107">
        <f t="shared" si="14"/>
        <v>7272.727272727273</v>
      </c>
      <c r="S54" s="292">
        <f t="shared" si="15"/>
        <v>545.66539923954372</v>
      </c>
      <c r="T54" s="107">
        <f>O54*'TTS Design Calcs'!$C$147*D54*3.785*1440/454000</f>
        <v>71528.164663217103</v>
      </c>
      <c r="U54" s="107">
        <v>95388.997297527836</v>
      </c>
      <c r="V54" s="107">
        <f t="shared" si="7"/>
        <v>143056.32932643421</v>
      </c>
      <c r="W54" s="107">
        <f t="shared" si="8"/>
        <v>19339.096371906846</v>
      </c>
      <c r="X54" s="107">
        <f>O54*'TTS Design Calcs'!$C$224*D54*3.785*1440/454000</f>
        <v>17950.163227388293</v>
      </c>
      <c r="Y54" s="107">
        <f t="shared" si="9"/>
        <v>3275.9047889983635</v>
      </c>
      <c r="Z54" s="107">
        <f>'TTS Design Calcs'!$C$269*(D54)/365</f>
        <v>133.36612060224201</v>
      </c>
      <c r="AA54" s="306">
        <f t="shared" si="16"/>
        <v>24.339317009909166</v>
      </c>
      <c r="AB54" s="293">
        <f>(L54-$A$121)*1440*'TTS Design Calcs'!$C$284</f>
        <v>50.622922442698233</v>
      </c>
      <c r="AC54" s="293">
        <f t="shared" si="17"/>
        <v>9.2386833457924276</v>
      </c>
      <c r="AD54" s="107">
        <f>H54*'TTS Design Calcs'!$C$343</f>
        <v>10514.584948280757</v>
      </c>
      <c r="AE54" s="107">
        <f>H54*'TTS Design Calcs'!$C$352</f>
        <v>3504.8616494269199</v>
      </c>
      <c r="AF54" s="292">
        <f>H54*'TTS Design Calcs'!$C$309</f>
        <v>3651.4535259907648</v>
      </c>
      <c r="AG54" s="292">
        <f>H54*'TTS Design Calcs'!$C$317</f>
        <v>3651.4535259907648</v>
      </c>
      <c r="AH54" s="107">
        <f>H54*'TTS Design Calcs'!$C$326</f>
        <v>608.5755876651275</v>
      </c>
      <c r="AI54" s="302">
        <f>H54*'TTS Design Calcs'!$C$334</f>
        <v>608.5755876651275</v>
      </c>
      <c r="AJ54" s="304">
        <f>'TTS Design Calcs'!$C$381*H54</f>
        <v>1054088.0492449249</v>
      </c>
      <c r="AK54" s="304">
        <f>'TTS Design Calcs'!$C$390*D54</f>
        <v>304990.12897076248</v>
      </c>
      <c r="AL54" s="305">
        <f t="shared" si="21"/>
        <v>1359078.1782156874</v>
      </c>
      <c r="AM54" s="452"/>
      <c r="AN54" s="452"/>
      <c r="AO54" s="452">
        <f t="shared" si="18"/>
        <v>26107.780102074244</v>
      </c>
    </row>
    <row r="55" spans="1:41" s="91" customFormat="1" ht="15" customHeight="1" x14ac:dyDescent="0.25">
      <c r="A55" s="106">
        <v>45</v>
      </c>
      <c r="B55" s="292">
        <v>1027.0139114140645</v>
      </c>
      <c r="C55" s="292">
        <f t="shared" si="10"/>
        <v>727.01391141406452</v>
      </c>
      <c r="D55" s="292">
        <f t="shared" si="22"/>
        <v>1106.8000282200776</v>
      </c>
      <c r="E55" s="292">
        <f>3*U55/'TTS Design Calcs'!$I$97/'TTS Design Calcs'!$L$97/'TTS Design Calcs'!$O$97/'TTS Design Calcs'!$R$97</f>
        <v>79.786116806013155</v>
      </c>
      <c r="F55" s="292">
        <f t="shared" si="11"/>
        <v>796.89602031845584</v>
      </c>
      <c r="G55" s="292">
        <f t="shared" si="12"/>
        <v>309.90400790162175</v>
      </c>
      <c r="H55" s="292">
        <f t="shared" si="19"/>
        <v>796.89602031845584</v>
      </c>
      <c r="I55" s="292">
        <f t="shared" si="23"/>
        <v>621.57889584839563</v>
      </c>
      <c r="J55" s="292">
        <f t="shared" si="24"/>
        <v>175.31712447006021</v>
      </c>
      <c r="K55" s="292">
        <v>0</v>
      </c>
      <c r="L55" s="292">
        <f t="shared" si="13"/>
        <v>931.48290375001739</v>
      </c>
      <c r="M55" s="107">
        <v>2565.9683531857777</v>
      </c>
      <c r="N55" s="292">
        <v>479</v>
      </c>
      <c r="O55" s="107">
        <f t="shared" si="20"/>
        <v>2561.2128792080211</v>
      </c>
      <c r="P55" s="411">
        <v>1600</v>
      </c>
      <c r="Q55" s="107">
        <v>2500</v>
      </c>
      <c r="R55" s="107">
        <f t="shared" si="14"/>
        <v>7272.727272727273</v>
      </c>
      <c r="S55" s="292">
        <f t="shared" si="15"/>
        <v>545.66539923954372</v>
      </c>
      <c r="T55" s="107">
        <f>O55*'TTS Design Calcs'!$C$147*D55*3.785*1440/454000</f>
        <v>71182.451941031308</v>
      </c>
      <c r="U55" s="107">
        <v>95021.435382354975</v>
      </c>
      <c r="V55" s="107">
        <f t="shared" si="7"/>
        <v>142364.90388206262</v>
      </c>
      <c r="W55" s="107">
        <f t="shared" si="8"/>
        <v>19245.625895167723</v>
      </c>
      <c r="X55" s="107">
        <f>O55*'TTS Design Calcs'!$C$224*D55*3.785*1440/454000</f>
        <v>17863.405796630239</v>
      </c>
      <c r="Y55" s="107">
        <f t="shared" si="9"/>
        <v>3260.0715578850186</v>
      </c>
      <c r="Z55" s="107">
        <f>'TTS Design Calcs'!$C$269*(D55)/365</f>
        <v>132.99168593057126</v>
      </c>
      <c r="AA55" s="306">
        <f t="shared" si="16"/>
        <v>24.270982682329258</v>
      </c>
      <c r="AB55" s="293">
        <f>(L55-$A$121)*1440*'TTS Design Calcs'!$C$284</f>
        <v>50.41355354481739</v>
      </c>
      <c r="AC55" s="293">
        <f t="shared" si="17"/>
        <v>9.2004735219291742</v>
      </c>
      <c r="AD55" s="107">
        <f>H55*'TTS Design Calcs'!$C$343</f>
        <v>10485.064518766234</v>
      </c>
      <c r="AE55" s="107">
        <f>H55*'TTS Design Calcs'!$C$352</f>
        <v>3495.0215062554121</v>
      </c>
      <c r="AF55" s="292">
        <f>H55*'TTS Design Calcs'!$C$309</f>
        <v>3641.2018159166364</v>
      </c>
      <c r="AG55" s="292">
        <f>H55*'TTS Design Calcs'!$C$317</f>
        <v>3641.2018159166364</v>
      </c>
      <c r="AH55" s="107">
        <f>H55*'TTS Design Calcs'!$C$326</f>
        <v>606.86696931943936</v>
      </c>
      <c r="AI55" s="302">
        <f>H55*'TTS Design Calcs'!$C$334</f>
        <v>606.86696931943936</v>
      </c>
      <c r="AJ55" s="304">
        <f>'TTS Design Calcs'!$C$381*H55</f>
        <v>1051128.623636316</v>
      </c>
      <c r="AK55" s="304">
        <f>'TTS Design Calcs'!$C$390*D55</f>
        <v>304133.84794310498</v>
      </c>
      <c r="AL55" s="305">
        <f t="shared" si="21"/>
        <v>1355262.4715794211</v>
      </c>
      <c r="AM55" s="452"/>
      <c r="AN55" s="452"/>
      <c r="AO55" s="452">
        <f t="shared" si="18"/>
        <v>25981.594958476428</v>
      </c>
    </row>
    <row r="56" spans="1:41" s="91" customFormat="1" ht="15" customHeight="1" x14ac:dyDescent="0.25">
      <c r="A56" s="106">
        <v>46</v>
      </c>
      <c r="B56" s="292">
        <v>1024.2901293335945</v>
      </c>
      <c r="C56" s="292">
        <f t="shared" si="10"/>
        <v>724.29012933359445</v>
      </c>
      <c r="D56" s="292">
        <f t="shared" si="22"/>
        <v>1103.7754458669729</v>
      </c>
      <c r="E56" s="292">
        <f>3*U56/'TTS Design Calcs'!$I$97/'TTS Design Calcs'!$L$97/'TTS Design Calcs'!$O$97/'TTS Design Calcs'!$R$97</f>
        <v>79.485316533378423</v>
      </c>
      <c r="F56" s="292">
        <f t="shared" si="11"/>
        <v>794.71832102422047</v>
      </c>
      <c r="G56" s="292">
        <f t="shared" si="12"/>
        <v>309.05712484275244</v>
      </c>
      <c r="H56" s="292">
        <f t="shared" si="19"/>
        <v>794.71832102422036</v>
      </c>
      <c r="I56" s="292">
        <f t="shared" si="23"/>
        <v>619.88029039889193</v>
      </c>
      <c r="J56" s="292">
        <f t="shared" si="24"/>
        <v>174.83803062532843</v>
      </c>
      <c r="K56" s="292">
        <v>0</v>
      </c>
      <c r="L56" s="292">
        <f t="shared" si="13"/>
        <v>928.93741524164443</v>
      </c>
      <c r="M56" s="107">
        <v>2560.4460147637074</v>
      </c>
      <c r="N56" s="292">
        <v>479</v>
      </c>
      <c r="O56" s="107">
        <f t="shared" si="20"/>
        <v>2556.0931632533166</v>
      </c>
      <c r="P56" s="411">
        <v>1600</v>
      </c>
      <c r="Q56" s="107">
        <v>2500</v>
      </c>
      <c r="R56" s="107">
        <f t="shared" si="14"/>
        <v>7272.727272727273</v>
      </c>
      <c r="S56" s="292">
        <f t="shared" si="15"/>
        <v>545.66539923954383</v>
      </c>
      <c r="T56" s="107">
        <f>O56*'TTS Design Calcs'!$C$147*D56*3.785*1440/454000</f>
        <v>70846.028977493464</v>
      </c>
      <c r="U56" s="107">
        <v>94663.196696060084</v>
      </c>
      <c r="V56" s="107">
        <f t="shared" si="7"/>
        <v>141692.05795498693</v>
      </c>
      <c r="W56" s="107">
        <f t="shared" si="8"/>
        <v>19154.667093914897</v>
      </c>
      <c r="X56" s="107">
        <f>O56*'TTS Design Calcs'!$C$224*D56*3.785*1440/454000</f>
        <v>17778.979652923361</v>
      </c>
      <c r="Y56" s="107">
        <f t="shared" si="9"/>
        <v>3244.6637866585133</v>
      </c>
      <c r="Z56" s="107">
        <f>'TTS Design Calcs'!$C$269*(D56)/365</f>
        <v>132.62825595576169</v>
      </c>
      <c r="AA56" s="306">
        <f t="shared" si="16"/>
        <v>24.204656711926511</v>
      </c>
      <c r="AB56" s="293">
        <f>(L56-$A$121)*1440*'TTS Design Calcs'!$C$284</f>
        <v>50.210338033435349</v>
      </c>
      <c r="AC56" s="293">
        <f t="shared" si="17"/>
        <v>9.1633866911019499</v>
      </c>
      <c r="AD56" s="107">
        <f>H56*'TTS Design Calcs'!$C$343</f>
        <v>10456.411699552247</v>
      </c>
      <c r="AE56" s="107">
        <f>H56*'TTS Design Calcs'!$C$352</f>
        <v>3485.4705665174165</v>
      </c>
      <c r="AF56" s="292">
        <f>H56*'TTS Design Calcs'!$C$309</f>
        <v>3631.2514052952838</v>
      </c>
      <c r="AG56" s="292">
        <f>H56*'TTS Design Calcs'!$C$317</f>
        <v>3631.2514052952838</v>
      </c>
      <c r="AH56" s="107">
        <f>H56*'TTS Design Calcs'!$C$326</f>
        <v>605.20856754921397</v>
      </c>
      <c r="AI56" s="302">
        <f>H56*'TTS Design Calcs'!$C$334</f>
        <v>605.20856754921397</v>
      </c>
      <c r="AJ56" s="304">
        <f>'TTS Design Calcs'!$C$381*H56</f>
        <v>1048256.1760352743</v>
      </c>
      <c r="AK56" s="304">
        <f>'TTS Design Calcs'!$C$390*D56</f>
        <v>303302.73315631744</v>
      </c>
      <c r="AL56" s="305">
        <f t="shared" si="21"/>
        <v>1351558.9091915917</v>
      </c>
      <c r="AM56" s="452"/>
      <c r="AN56" s="452"/>
      <c r="AO56" s="452">
        <f t="shared" si="18"/>
        <v>25858.800576785114</v>
      </c>
    </row>
    <row r="57" spans="1:41" s="91" customFormat="1" ht="15" customHeight="1" x14ac:dyDescent="0.25">
      <c r="A57" s="106">
        <v>47</v>
      </c>
      <c r="B57" s="292">
        <v>1021.6504839082115</v>
      </c>
      <c r="C57" s="292">
        <f t="shared" ref="C57:C88" si="25">B57-$A$121</f>
        <v>721.65048390821153</v>
      </c>
      <c r="D57" s="292">
        <f t="shared" si="22"/>
        <v>1100.8428286770006</v>
      </c>
      <c r="E57" s="292">
        <f>3*U57/'TTS Design Calcs'!$I$97/'TTS Design Calcs'!$L$97/'TTS Design Calcs'!$O$97/'TTS Design Calcs'!$R$97</f>
        <v>79.192344768789013</v>
      </c>
      <c r="F57" s="292">
        <f t="shared" ref="F57:F88" si="26">D57*(1-$A$118)</f>
        <v>792.60683664744045</v>
      </c>
      <c r="G57" s="292">
        <f t="shared" ref="G57:G88" si="27">D57*$A$118</f>
        <v>308.23599202956018</v>
      </c>
      <c r="H57" s="292">
        <f t="shared" si="19"/>
        <v>792.60683664744045</v>
      </c>
      <c r="I57" s="292">
        <f t="shared" si="23"/>
        <v>618.23333258500361</v>
      </c>
      <c r="J57" s="292">
        <f t="shared" si="24"/>
        <v>174.37350406243684</v>
      </c>
      <c r="K57" s="292">
        <v>0</v>
      </c>
      <c r="L57" s="292">
        <f t="shared" ref="L57:L88" si="28">+G57+I57</f>
        <v>926.46932461456379</v>
      </c>
      <c r="M57" s="107">
        <v>2555.0267795379768</v>
      </c>
      <c r="N57" s="292">
        <v>479</v>
      </c>
      <c r="O57" s="107">
        <f t="shared" si="20"/>
        <v>2551.0682674023933</v>
      </c>
      <c r="P57" s="411">
        <v>1600</v>
      </c>
      <c r="Q57" s="107">
        <v>2500</v>
      </c>
      <c r="R57" s="107">
        <f t="shared" ref="R57:R88" si="29">P57*$A$120</f>
        <v>7272.727272727273</v>
      </c>
      <c r="S57" s="292">
        <f t="shared" ref="S57:S88" si="30">(G57*P57+I57*20)/(G57+I57)</f>
        <v>545.66539923954372</v>
      </c>
      <c r="T57" s="107">
        <f>O57*'TTS Design Calcs'!$C$147*D57*3.785*1440/454000</f>
        <v>70518.895770577161</v>
      </c>
      <c r="U57" s="107">
        <v>94314.281387078794</v>
      </c>
      <c r="V57" s="107">
        <f t="shared" si="7"/>
        <v>141037.79154115432</v>
      </c>
      <c r="W57" s="107">
        <f t="shared" si="8"/>
        <v>19066.219967600489</v>
      </c>
      <c r="X57" s="107">
        <f>O57*'TTS Design Calcs'!$C$224*D57*3.785*1440/454000</f>
        <v>17696.884795759128</v>
      </c>
      <c r="Y57" s="107">
        <f t="shared" si="9"/>
        <v>3229.6814752260411</v>
      </c>
      <c r="Z57" s="107">
        <f>'TTS Design Calcs'!$C$269*(D57)/365</f>
        <v>132.27587639817295</v>
      </c>
      <c r="AA57" s="306">
        <f t="shared" si="16"/>
        <v>24.140347442666563</v>
      </c>
      <c r="AB57" s="293">
        <f>(L57-$A$121)*1440*'TTS Design Calcs'!$C$284</f>
        <v>50.013301473549248</v>
      </c>
      <c r="AC57" s="293">
        <f t="shared" si="17"/>
        <v>9.1274275189227367</v>
      </c>
      <c r="AD57" s="107">
        <f>H57*'TTS Design Calcs'!$C$343</f>
        <v>10428.630095231953</v>
      </c>
      <c r="AE57" s="107">
        <f>H57*'TTS Design Calcs'!$C$352</f>
        <v>3476.2100317439854</v>
      </c>
      <c r="AF57" s="292">
        <f>H57*'TTS Design Calcs'!$C$309</f>
        <v>3621.6035459121508</v>
      </c>
      <c r="AG57" s="292">
        <f>H57*'TTS Design Calcs'!$C$317</f>
        <v>3621.6035459121508</v>
      </c>
      <c r="AH57" s="107">
        <f>H57*'TTS Design Calcs'!$C$326</f>
        <v>603.60059098535851</v>
      </c>
      <c r="AI57" s="302">
        <f>H57*'TTS Design Calcs'!$C$334</f>
        <v>603.60059098535851</v>
      </c>
      <c r="AJ57" s="304">
        <f>'TTS Design Calcs'!$C$381*H57</f>
        <v>1045471.067802575</v>
      </c>
      <c r="AK57" s="304">
        <f>'TTS Design Calcs'!$C$390*D57</f>
        <v>302496.88916662702</v>
      </c>
      <c r="AL57" s="305">
        <f t="shared" si="21"/>
        <v>1347967.956969202</v>
      </c>
      <c r="AM57" s="452"/>
      <c r="AN57" s="452"/>
      <c r="AO57" s="452">
        <f t="shared" si="18"/>
        <v>25739.396956260662</v>
      </c>
    </row>
    <row r="58" spans="1:41" s="91" customFormat="1" ht="15" customHeight="1" x14ac:dyDescent="0.25">
      <c r="A58" s="106">
        <v>48</v>
      </c>
      <c r="B58" s="292">
        <v>1019.0810962190803</v>
      </c>
      <c r="C58" s="292">
        <f t="shared" si="25"/>
        <v>719.08109621908034</v>
      </c>
      <c r="D58" s="292">
        <f t="shared" si="22"/>
        <v>1097.9870997896237</v>
      </c>
      <c r="E58" s="292">
        <f>3*U58/'TTS Design Calcs'!$I$97/'TTS Design Calcs'!$L$97/'TTS Design Calcs'!$O$97/'TTS Design Calcs'!$R$97</f>
        <v>78.906003570543319</v>
      </c>
      <c r="F58" s="292">
        <f t="shared" si="26"/>
        <v>790.55071184852909</v>
      </c>
      <c r="G58" s="292">
        <f t="shared" si="27"/>
        <v>307.43638794109467</v>
      </c>
      <c r="H58" s="292">
        <f t="shared" si="19"/>
        <v>790.55071184852909</v>
      </c>
      <c r="I58" s="292">
        <f t="shared" si="23"/>
        <v>616.6295552418527</v>
      </c>
      <c r="J58" s="292">
        <f t="shared" si="24"/>
        <v>173.92115660667639</v>
      </c>
      <c r="K58" s="292">
        <v>0</v>
      </c>
      <c r="L58" s="292">
        <f t="shared" si="28"/>
        <v>924.06594318294742</v>
      </c>
      <c r="M58" s="107">
        <v>2549.6949192803631</v>
      </c>
      <c r="N58" s="292">
        <v>479</v>
      </c>
      <c r="O58" s="107">
        <f t="shared" si="20"/>
        <v>2546.1236318955421</v>
      </c>
      <c r="P58" s="411">
        <v>1600</v>
      </c>
      <c r="Q58" s="107">
        <v>2500</v>
      </c>
      <c r="R58" s="107">
        <f t="shared" si="29"/>
        <v>7272.727272727273</v>
      </c>
      <c r="S58" s="292">
        <f t="shared" si="30"/>
        <v>545.66539923954372</v>
      </c>
      <c r="T58" s="107">
        <f>O58*'TTS Design Calcs'!$C$147*D58*3.785*1440/454000</f>
        <v>70199.631188629282</v>
      </c>
      <c r="U58" s="107">
        <v>93973.262764345709</v>
      </c>
      <c r="V58" s="107">
        <f t="shared" si="7"/>
        <v>140399.26237725856</v>
      </c>
      <c r="W58" s="107">
        <f t="shared" si="8"/>
        <v>18979.900284333104</v>
      </c>
      <c r="X58" s="107">
        <f>O58*'TTS Design Calcs'!$C$224*D58*3.785*1440/454000</f>
        <v>17616.764588765538</v>
      </c>
      <c r="Y58" s="107">
        <f t="shared" si="9"/>
        <v>3215.0595374497107</v>
      </c>
      <c r="Z58" s="107">
        <f>'TTS Design Calcs'!$C$269*(D58)/365</f>
        <v>131.93273564138812</v>
      </c>
      <c r="AA58" s="306">
        <f t="shared" si="16"/>
        <v>24.077724254553335</v>
      </c>
      <c r="AB58" s="293">
        <f>(L58-$A$121)*1440*'TTS Design Calcs'!$C$284</f>
        <v>49.821430881690155</v>
      </c>
      <c r="AC58" s="293">
        <f t="shared" si="17"/>
        <v>9.0924111359084527</v>
      </c>
      <c r="AD58" s="107">
        <f>H58*'TTS Design Calcs'!$C$343</f>
        <v>10401.576877967038</v>
      </c>
      <c r="AE58" s="107">
        <f>H58*'TTS Design Calcs'!$C$352</f>
        <v>3467.1922926556804</v>
      </c>
      <c r="AF58" s="292">
        <f>H58*'TTS Design Calcs'!$C$309</f>
        <v>3612.2086372155864</v>
      </c>
      <c r="AG58" s="292">
        <f>H58*'TTS Design Calcs'!$C$317</f>
        <v>3612.2086372155864</v>
      </c>
      <c r="AH58" s="107">
        <f>H58*'TTS Design Calcs'!$C$326</f>
        <v>602.03477286926443</v>
      </c>
      <c r="AI58" s="302">
        <f>H58*'TTS Design Calcs'!$C$334</f>
        <v>602.03477286926443</v>
      </c>
      <c r="AJ58" s="304">
        <f>'TTS Design Calcs'!$C$381*H58</f>
        <v>1042758.9804350907</v>
      </c>
      <c r="AK58" s="304">
        <f>'TTS Design Calcs'!$C$390*D58</f>
        <v>301712.17305436148</v>
      </c>
      <c r="AL58" s="305">
        <f t="shared" si="21"/>
        <v>1344471.1534894523</v>
      </c>
      <c r="AM58" s="452"/>
      <c r="AN58" s="452"/>
      <c r="AO58" s="452">
        <f t="shared" si="18"/>
        <v>25622.865383849687</v>
      </c>
    </row>
    <row r="59" spans="1:41" s="91" customFormat="1" ht="15" customHeight="1" x14ac:dyDescent="0.25">
      <c r="A59" s="106">
        <v>49</v>
      </c>
      <c r="B59" s="292">
        <v>1016.5860044800983</v>
      </c>
      <c r="C59" s="292">
        <f t="shared" si="25"/>
        <v>716.58600448009827</v>
      </c>
      <c r="D59" s="292">
        <f t="shared" si="22"/>
        <v>1095.2126084514907</v>
      </c>
      <c r="E59" s="292">
        <f>3*U59/'TTS Design Calcs'!$I$97/'TTS Design Calcs'!$L$97/'TTS Design Calcs'!$O$97/'TTS Design Calcs'!$R$97</f>
        <v>78.626603971392541</v>
      </c>
      <c r="F59" s="292">
        <f t="shared" si="26"/>
        <v>788.55307808507325</v>
      </c>
      <c r="G59" s="292">
        <f t="shared" si="27"/>
        <v>306.65953036641741</v>
      </c>
      <c r="H59" s="292">
        <f t="shared" si="19"/>
        <v>788.55307808507337</v>
      </c>
      <c r="I59" s="292">
        <f t="shared" si="23"/>
        <v>615.07140090635721</v>
      </c>
      <c r="J59" s="292">
        <f t="shared" si="24"/>
        <v>173.48167717871615</v>
      </c>
      <c r="K59" s="292">
        <v>0</v>
      </c>
      <c r="L59" s="292">
        <f t="shared" si="28"/>
        <v>921.73093127277457</v>
      </c>
      <c r="M59" s="107">
        <v>2544.4557774685113</v>
      </c>
      <c r="N59" s="292">
        <v>479</v>
      </c>
      <c r="O59" s="107">
        <f t="shared" si="20"/>
        <v>2541.2642448087486</v>
      </c>
      <c r="P59" s="411">
        <v>1600</v>
      </c>
      <c r="Q59" s="107">
        <v>2500</v>
      </c>
      <c r="R59" s="107">
        <f t="shared" si="29"/>
        <v>7272.727272727273</v>
      </c>
      <c r="S59" s="292">
        <f t="shared" si="30"/>
        <v>545.66539923954383</v>
      </c>
      <c r="T59" s="107">
        <f>O59*'TTS Design Calcs'!$C$147*D59*3.785*1440/454000</f>
        <v>69888.604042133418</v>
      </c>
      <c r="U59" s="107">
        <v>93640.511252937868</v>
      </c>
      <c r="V59" s="107">
        <f t="shared" si="7"/>
        <v>139777.20808426684</v>
      </c>
      <c r="W59" s="107">
        <f t="shared" si="8"/>
        <v>18895.807759539777</v>
      </c>
      <c r="X59" s="107">
        <f>O59*'TTS Design Calcs'!$C$224*D59*3.785*1440/454000</f>
        <v>17538.711585811576</v>
      </c>
      <c r="Y59" s="107">
        <f t="shared" si="9"/>
        <v>3200.8148644106127</v>
      </c>
      <c r="Z59" s="107">
        <f>'TTS Design Calcs'!$C$269*(D59)/365</f>
        <v>131.59935628536169</v>
      </c>
      <c r="AA59" s="306">
        <f t="shared" si="16"/>
        <v>24.016882522078507</v>
      </c>
      <c r="AB59" s="293">
        <f>(L59-$A$121)*1440*'TTS Design Calcs'!$C$284</f>
        <v>49.635018474858178</v>
      </c>
      <c r="AC59" s="293">
        <f t="shared" si="17"/>
        <v>9.0583908716616168</v>
      </c>
      <c r="AD59" s="107">
        <f>H59*'TTS Design Calcs'!$C$343</f>
        <v>10375.293249537914</v>
      </c>
      <c r="AE59" s="107">
        <f>H59*'TTS Design Calcs'!$C$352</f>
        <v>3458.4310831793055</v>
      </c>
      <c r="AF59" s="292">
        <f>H59*'TTS Design Calcs'!$C$309</f>
        <v>3603.0809875579503</v>
      </c>
      <c r="AG59" s="292">
        <f>H59*'TTS Design Calcs'!$C$317</f>
        <v>3603.0809875579503</v>
      </c>
      <c r="AH59" s="107">
        <f>H59*'TTS Design Calcs'!$C$326</f>
        <v>600.51349792632504</v>
      </c>
      <c r="AI59" s="302">
        <f>H59*'TTS Design Calcs'!$C$334</f>
        <v>600.51349792632504</v>
      </c>
      <c r="AJ59" s="304">
        <f>'TTS Design Calcs'!$C$381*H59</f>
        <v>1040124.0444148661</v>
      </c>
      <c r="AK59" s="304">
        <f>'TTS Design Calcs'!$C$390*D59</f>
        <v>300949.77993434307</v>
      </c>
      <c r="AL59" s="305">
        <f t="shared" si="21"/>
        <v>1341073.8243492092</v>
      </c>
      <c r="AM59" s="452"/>
      <c r="AN59" s="452"/>
      <c r="AO59" s="452">
        <f t="shared" si="18"/>
        <v>25509.340475378696</v>
      </c>
    </row>
    <row r="60" spans="1:41" s="91" customFormat="1" ht="15" customHeight="1" x14ac:dyDescent="0.25">
      <c r="A60" s="106">
        <v>50</v>
      </c>
      <c r="B60" s="292">
        <v>1013.1084864675324</v>
      </c>
      <c r="C60" s="292">
        <f t="shared" si="25"/>
        <v>713.10848646753243</v>
      </c>
      <c r="D60" s="292">
        <f t="shared" si="22"/>
        <v>1091.3802234041605</v>
      </c>
      <c r="E60" s="292">
        <f>3*U60/'TTS Design Calcs'!$I$97/'TTS Design Calcs'!$L$97/'TTS Design Calcs'!$O$97/'TTS Design Calcs'!$R$97</f>
        <v>78.271736936628002</v>
      </c>
      <c r="F60" s="292">
        <f t="shared" si="26"/>
        <v>785.79376085099545</v>
      </c>
      <c r="G60" s="292">
        <f t="shared" si="27"/>
        <v>305.58646255316495</v>
      </c>
      <c r="H60" s="292">
        <f t="shared" si="19"/>
        <v>785.79376085099557</v>
      </c>
      <c r="I60" s="292">
        <f t="shared" si="23"/>
        <v>612.91913346377657</v>
      </c>
      <c r="J60" s="292">
        <f t="shared" si="24"/>
        <v>172.87462738721899</v>
      </c>
      <c r="K60" s="292">
        <v>0</v>
      </c>
      <c r="L60" s="292">
        <f t="shared" si="28"/>
        <v>918.50559601694158</v>
      </c>
      <c r="M60" s="107">
        <v>2538.3216434137976</v>
      </c>
      <c r="N60" s="292">
        <v>479</v>
      </c>
      <c r="O60" s="107">
        <f t="shared" si="20"/>
        <v>2535.5732872241388</v>
      </c>
      <c r="P60" s="411">
        <v>1600</v>
      </c>
      <c r="Q60" s="107">
        <v>2500</v>
      </c>
      <c r="R60" s="107">
        <f t="shared" si="29"/>
        <v>7272.727272727273</v>
      </c>
      <c r="S60" s="292">
        <f t="shared" si="30"/>
        <v>545.66539923954372</v>
      </c>
      <c r="T60" s="107">
        <f>O60*'TTS Design Calcs'!$C$147*D60*3.785*1440/454000</f>
        <v>69488.086483499661</v>
      </c>
      <c r="U60" s="107">
        <v>93217.881648150971</v>
      </c>
      <c r="V60" s="107">
        <f t="shared" si="7"/>
        <v>138976.17296699932</v>
      </c>
      <c r="W60" s="107">
        <f t="shared" si="8"/>
        <v>18787.51967887213</v>
      </c>
      <c r="X60" s="107">
        <f>O60*'TTS Design Calcs'!$C$224*D60*3.785*1440/454000</f>
        <v>17438.2007508592</v>
      </c>
      <c r="Y60" s="107">
        <f t="shared" si="9"/>
        <v>3182.4716370318038</v>
      </c>
      <c r="Z60" s="107">
        <f>'TTS Design Calcs'!$C$269*(D60)/365</f>
        <v>131.13886176459516</v>
      </c>
      <c r="AA60" s="306">
        <f t="shared" si="16"/>
        <v>23.93284227203862</v>
      </c>
      <c r="AB60" s="293">
        <f>(L60-$A$121)*1440*'TTS Design Calcs'!$C$284</f>
        <v>49.37752835017811</v>
      </c>
      <c r="AC60" s="293">
        <f t="shared" si="17"/>
        <v>9.011398923907505</v>
      </c>
      <c r="AD60" s="107">
        <f>H60*'TTS Design Calcs'!$C$343</f>
        <v>10338.987861520682</v>
      </c>
      <c r="AE60" s="107">
        <f>H60*'TTS Design Calcs'!$C$352</f>
        <v>3446.3292871735612</v>
      </c>
      <c r="AF60" s="292">
        <f>H60*'TTS Design Calcs'!$C$309</f>
        <v>3590.4730303499332</v>
      </c>
      <c r="AG60" s="292">
        <f>H60*'TTS Design Calcs'!$C$317</f>
        <v>3590.4730303499332</v>
      </c>
      <c r="AH60" s="107">
        <f>H60*'TTS Design Calcs'!$C$326</f>
        <v>598.41217172498887</v>
      </c>
      <c r="AI60" s="302">
        <f>H60*'TTS Design Calcs'!$C$334</f>
        <v>598.41217172498887</v>
      </c>
      <c r="AJ60" s="304">
        <f>'TTS Design Calcs'!$C$381*H60</f>
        <v>1036484.4261303212</v>
      </c>
      <c r="AK60" s="304">
        <f>'TTS Design Calcs'!$C$390*D60</f>
        <v>299896.69176888774</v>
      </c>
      <c r="AL60" s="305">
        <f t="shared" si="21"/>
        <v>1336381.117899209</v>
      </c>
      <c r="AM60" s="452"/>
      <c r="AN60" s="452"/>
      <c r="AO60" s="452">
        <f t="shared" si="18"/>
        <v>25363.151566477376</v>
      </c>
    </row>
    <row r="61" spans="1:41" s="91" customFormat="1" ht="15" customHeight="1" x14ac:dyDescent="0.25">
      <c r="A61" s="106">
        <v>51</v>
      </c>
      <c r="B61" s="292">
        <v>1006.2429991272732</v>
      </c>
      <c r="C61" s="292">
        <f t="shared" si="25"/>
        <v>706.24299912727315</v>
      </c>
      <c r="D61" s="292">
        <f t="shared" si="22"/>
        <v>1084.2127062589907</v>
      </c>
      <c r="E61" s="292">
        <f>3*U61/'TTS Design Calcs'!$I$97/'TTS Design Calcs'!$L$97/'TTS Design Calcs'!$O$97/'TTS Design Calcs'!$R$97</f>
        <v>77.969707131717485</v>
      </c>
      <c r="F61" s="292">
        <f t="shared" si="26"/>
        <v>780.63314850647328</v>
      </c>
      <c r="G61" s="292">
        <f t="shared" si="27"/>
        <v>303.57955775251742</v>
      </c>
      <c r="H61" s="292">
        <f t="shared" si="19"/>
        <v>780.63314850647328</v>
      </c>
      <c r="I61" s="292">
        <f t="shared" si="23"/>
        <v>608.89385583504918</v>
      </c>
      <c r="J61" s="292">
        <f t="shared" si="24"/>
        <v>171.7392926714241</v>
      </c>
      <c r="K61" s="292">
        <v>0</v>
      </c>
      <c r="L61" s="292">
        <f t="shared" si="28"/>
        <v>912.4734135875666</v>
      </c>
      <c r="M61" s="107">
        <v>2542.56393932322</v>
      </c>
      <c r="N61" s="292">
        <v>479</v>
      </c>
      <c r="O61" s="107">
        <f t="shared" si="20"/>
        <v>2539.5030105366031</v>
      </c>
      <c r="P61" s="411">
        <v>1600</v>
      </c>
      <c r="Q61" s="107">
        <v>2500</v>
      </c>
      <c r="R61" s="107">
        <f t="shared" si="29"/>
        <v>7272.727272727273</v>
      </c>
      <c r="S61" s="292">
        <f t="shared" si="30"/>
        <v>545.66539923954372</v>
      </c>
      <c r="T61" s="107">
        <f>O61*'TTS Design Calcs'!$C$147*D61*3.785*1440/454000</f>
        <v>69138.719150582125</v>
      </c>
      <c r="U61" s="107">
        <v>92858.178647933193</v>
      </c>
      <c r="V61" s="107">
        <f t="shared" si="7"/>
        <v>138277.43830116425</v>
      </c>
      <c r="W61" s="107">
        <f t="shared" si="8"/>
        <v>18693.061103675907</v>
      </c>
      <c r="X61" s="107">
        <f>O61*'TTS Design Calcs'!$C$224*D61*3.785*1440/454000</f>
        <v>17350.52618683656</v>
      </c>
      <c r="Y61" s="107">
        <f t="shared" si="9"/>
        <v>3166.4710290976723</v>
      </c>
      <c r="Z61" s="107">
        <f>'TTS Design Calcs'!$C$269*(D61)/365</f>
        <v>130.27762200604064</v>
      </c>
      <c r="AA61" s="306">
        <f t="shared" si="16"/>
        <v>23.77566601610242</v>
      </c>
      <c r="AB61" s="293">
        <f>(L61-$A$121)*1440*'TTS Design Calcs'!$C$284</f>
        <v>48.89595751098436</v>
      </c>
      <c r="AC61" s="293">
        <f t="shared" si="17"/>
        <v>8.9235122457546456</v>
      </c>
      <c r="AD61" s="107">
        <f>H61*'TTS Design Calcs'!$C$343</f>
        <v>10271.087718956242</v>
      </c>
      <c r="AE61" s="107">
        <f>H61*'TTS Design Calcs'!$C$352</f>
        <v>3423.6959063187483</v>
      </c>
      <c r="AF61" s="292">
        <f>H61*'TTS Design Calcs'!$C$309</f>
        <v>3566.8930016372701</v>
      </c>
      <c r="AG61" s="292">
        <f>H61*'TTS Design Calcs'!$C$317</f>
        <v>3566.8930016372701</v>
      </c>
      <c r="AH61" s="107">
        <f>H61*'TTS Design Calcs'!$C$326</f>
        <v>594.48216693954498</v>
      </c>
      <c r="AI61" s="302">
        <f>H61*'TTS Design Calcs'!$C$334</f>
        <v>594.48216693954498</v>
      </c>
      <c r="AJ61" s="304">
        <f>'TTS Design Calcs'!$C$381*H61</f>
        <v>1029677.4309734743</v>
      </c>
      <c r="AK61" s="304">
        <f>'TTS Design Calcs'!$C$390*D61</f>
        <v>297927.15389937366</v>
      </c>
      <c r="AL61" s="305">
        <f t="shared" si="21"/>
        <v>1327604.5848728479</v>
      </c>
      <c r="AM61" s="452"/>
      <c r="AN61" s="452"/>
      <c r="AO61" s="452">
        <f t="shared" si="18"/>
        <v>25235.632489962478</v>
      </c>
    </row>
    <row r="62" spans="1:41" s="91" customFormat="1" ht="15" customHeight="1" x14ac:dyDescent="0.25">
      <c r="A62" s="106">
        <v>52</v>
      </c>
      <c r="B62" s="292">
        <v>1004.0166506176608</v>
      </c>
      <c r="C62" s="292">
        <f t="shared" si="25"/>
        <v>704.01665061766084</v>
      </c>
      <c r="D62" s="292">
        <f t="shared" si="22"/>
        <v>1081.7843993265014</v>
      </c>
      <c r="E62" s="292">
        <f>3*U62/'TTS Design Calcs'!$I$97/'TTS Design Calcs'!$L$97/'TTS Design Calcs'!$O$97/'TTS Design Calcs'!$R$97</f>
        <v>77.767748708840571</v>
      </c>
      <c r="F62" s="292">
        <f t="shared" si="26"/>
        <v>778.88476751508097</v>
      </c>
      <c r="G62" s="292">
        <f t="shared" si="27"/>
        <v>302.89963181142042</v>
      </c>
      <c r="H62" s="292">
        <f t="shared" si="19"/>
        <v>778.88476751508097</v>
      </c>
      <c r="I62" s="292">
        <f t="shared" si="23"/>
        <v>607.53011866176314</v>
      </c>
      <c r="J62" s="292">
        <f t="shared" si="24"/>
        <v>171.35464885331783</v>
      </c>
      <c r="K62" s="292">
        <v>0</v>
      </c>
      <c r="L62" s="292">
        <f t="shared" si="28"/>
        <v>910.4297504731835</v>
      </c>
      <c r="M62" s="107">
        <v>2539.5112421884805</v>
      </c>
      <c r="N62" s="292">
        <v>479</v>
      </c>
      <c r="O62" s="107">
        <f t="shared" si="20"/>
        <v>2536.6708422385454</v>
      </c>
      <c r="P62" s="411">
        <v>1600</v>
      </c>
      <c r="Q62" s="107">
        <v>2500</v>
      </c>
      <c r="R62" s="107">
        <f t="shared" si="29"/>
        <v>7272.727272727273</v>
      </c>
      <c r="S62" s="292">
        <f t="shared" si="30"/>
        <v>545.66539923954383</v>
      </c>
      <c r="T62" s="107">
        <f>O62*'TTS Design Calcs'!$C$147*D62*3.785*1440/454000</f>
        <v>68906.935510707131</v>
      </c>
      <c r="U62" s="107">
        <v>92617.655860291095</v>
      </c>
      <c r="V62" s="107">
        <f t="shared" si="7"/>
        <v>137813.87102141426</v>
      </c>
      <c r="W62" s="107">
        <f t="shared" si="8"/>
        <v>18630.39367511711</v>
      </c>
      <c r="X62" s="107">
        <f>O62*'TTS Design Calcs'!$C$224*D62*3.785*1440/454000</f>
        <v>17292.359530544123</v>
      </c>
      <c r="Y62" s="107">
        <f t="shared" si="9"/>
        <v>3155.8556143243022</v>
      </c>
      <c r="Z62" s="107">
        <f>'TTS Design Calcs'!$C$269*(D62)/365</f>
        <v>129.98583972859711</v>
      </c>
      <c r="AA62" s="306">
        <f t="shared" si="16"/>
        <v>23.722415750468972</v>
      </c>
      <c r="AB62" s="293">
        <f>(L62-$A$121)*1440*'TTS Design Calcs'!$C$284</f>
        <v>48.732804527375947</v>
      </c>
      <c r="AC62" s="293">
        <f t="shared" si="17"/>
        <v>8.8937368262461103</v>
      </c>
      <c r="AD62" s="107">
        <f>H62*'TTS Design Calcs'!$C$343</f>
        <v>10248.083604202591</v>
      </c>
      <c r="AE62" s="107">
        <f>H62*'TTS Design Calcs'!$C$352</f>
        <v>3416.0278680675315</v>
      </c>
      <c r="AF62" s="292">
        <f>H62*'TTS Design Calcs'!$C$309</f>
        <v>3558.9042454150622</v>
      </c>
      <c r="AG62" s="292">
        <f>H62*'TTS Design Calcs'!$C$317</f>
        <v>3558.9042454150622</v>
      </c>
      <c r="AH62" s="107">
        <f>H62*'TTS Design Calcs'!$C$326</f>
        <v>593.15070756917703</v>
      </c>
      <c r="AI62" s="302">
        <f>H62*'TTS Design Calcs'!$C$334</f>
        <v>593.15070756917703</v>
      </c>
      <c r="AJ62" s="304">
        <f>'TTS Design Calcs'!$C$381*H62</f>
        <v>1027371.2664824787</v>
      </c>
      <c r="AK62" s="304">
        <f>'TTS Design Calcs'!$C$390*D62</f>
        <v>297259.88762494782</v>
      </c>
      <c r="AL62" s="305">
        <f t="shared" si="21"/>
        <v>1324631.1541074265</v>
      </c>
      <c r="AM62" s="452"/>
      <c r="AN62" s="452"/>
      <c r="AO62" s="452">
        <f t="shared" si="18"/>
        <v>25151.031461408103</v>
      </c>
    </row>
    <row r="63" spans="1:41" s="91" customFormat="1" ht="15" customHeight="1" x14ac:dyDescent="0.25">
      <c r="A63" s="106">
        <v>53</v>
      </c>
      <c r="B63" s="292">
        <v>1001.8477037376632</v>
      </c>
      <c r="C63" s="292">
        <f t="shared" si="25"/>
        <v>701.84770373766321</v>
      </c>
      <c r="D63" s="292">
        <f t="shared" si="22"/>
        <v>1079.4183831385255</v>
      </c>
      <c r="E63" s="292">
        <f>3*U63/'TTS Design Calcs'!$I$97/'TTS Design Calcs'!$L$97/'TTS Design Calcs'!$O$97/'TTS Design Calcs'!$R$97</f>
        <v>77.570679400862346</v>
      </c>
      <c r="F63" s="292">
        <f t="shared" si="26"/>
        <v>777.18123585973831</v>
      </c>
      <c r="G63" s="292">
        <f t="shared" si="27"/>
        <v>302.23714727878718</v>
      </c>
      <c r="H63" s="292">
        <f t="shared" si="19"/>
        <v>777.18123585973831</v>
      </c>
      <c r="I63" s="292">
        <f t="shared" si="23"/>
        <v>606.20136397059593</v>
      </c>
      <c r="J63" s="292">
        <f t="shared" si="24"/>
        <v>170.97987188914237</v>
      </c>
      <c r="K63" s="292">
        <v>0</v>
      </c>
      <c r="L63" s="292">
        <f t="shared" si="28"/>
        <v>908.43851124938305</v>
      </c>
      <c r="M63" s="107">
        <v>2536.5179901487763</v>
      </c>
      <c r="N63" s="292">
        <v>479</v>
      </c>
      <c r="O63" s="107">
        <f t="shared" si="20"/>
        <v>2533.8936830678113</v>
      </c>
      <c r="P63" s="411">
        <v>1600</v>
      </c>
      <c r="Q63" s="107">
        <v>2500</v>
      </c>
      <c r="R63" s="107">
        <f t="shared" si="29"/>
        <v>7272.727272727273</v>
      </c>
      <c r="S63" s="292">
        <f t="shared" si="30"/>
        <v>545.66539923954372</v>
      </c>
      <c r="T63" s="107">
        <f>O63*'TTS Design Calcs'!$C$147*D63*3.785*1440/454000</f>
        <v>68680.95161208557</v>
      </c>
      <c r="U63" s="107">
        <v>92382.955773815804</v>
      </c>
      <c r="V63" s="107">
        <f t="shared" si="7"/>
        <v>137361.90322417114</v>
      </c>
      <c r="W63" s="107">
        <f t="shared" si="8"/>
        <v>18569.294324749062</v>
      </c>
      <c r="X63" s="107">
        <f>O63*'TTS Design Calcs'!$C$224*D63*3.785*1440/454000</f>
        <v>17235.648333128142</v>
      </c>
      <c r="Y63" s="107">
        <f t="shared" si="9"/>
        <v>3145.5058207958859</v>
      </c>
      <c r="Z63" s="107">
        <f>'TTS Design Calcs'!$C$269*(D63)/365</f>
        <v>129.70154222791493</v>
      </c>
      <c r="AA63" s="306">
        <f t="shared" si="16"/>
        <v>23.670531456594475</v>
      </c>
      <c r="AB63" s="293">
        <f>(L63-$A$121)*1440*'TTS Design Calcs'!$C$284</f>
        <v>48.573836731678753</v>
      </c>
      <c r="AC63" s="293">
        <f t="shared" si="17"/>
        <v>8.8647252035313731</v>
      </c>
      <c r="AD63" s="107">
        <f>H63*'TTS Design Calcs'!$C$343</f>
        <v>10225.669589248808</v>
      </c>
      <c r="AE63" s="107">
        <f>H63*'TTS Design Calcs'!$C$352</f>
        <v>3408.5565297496037</v>
      </c>
      <c r="AF63" s="292">
        <f>H63*'TTS Design Calcs'!$C$309</f>
        <v>3551.1204161591118</v>
      </c>
      <c r="AG63" s="292">
        <f>H63*'TTS Design Calcs'!$C$317</f>
        <v>3551.1204161591118</v>
      </c>
      <c r="AH63" s="107">
        <f>H63*'TTS Design Calcs'!$C$326</f>
        <v>591.85340269318533</v>
      </c>
      <c r="AI63" s="302">
        <f>H63*'TTS Design Calcs'!$C$334</f>
        <v>591.85340269318533</v>
      </c>
      <c r="AJ63" s="304">
        <f>'TTS Design Calcs'!$C$381*H63</f>
        <v>1025124.2595473888</v>
      </c>
      <c r="AK63" s="304">
        <f>'TTS Design Calcs'!$C$390*D63</f>
        <v>296609.73801418027</v>
      </c>
      <c r="AL63" s="305">
        <f t="shared" si="21"/>
        <v>1321733.9975615691</v>
      </c>
      <c r="AM63" s="452"/>
      <c r="AN63" s="452"/>
      <c r="AO63" s="452">
        <f t="shared" si="18"/>
        <v>25068.547338411234</v>
      </c>
    </row>
    <row r="64" spans="1:41" s="91" customFormat="1" ht="15" customHeight="1" x14ac:dyDescent="0.25">
      <c r="A64" s="106">
        <v>54</v>
      </c>
      <c r="B64" s="292">
        <v>999.73634420571386</v>
      </c>
      <c r="C64" s="292">
        <f t="shared" si="25"/>
        <v>699.73634420571386</v>
      </c>
      <c r="D64" s="292">
        <f t="shared" si="22"/>
        <v>1077.1148797850858</v>
      </c>
      <c r="E64" s="292">
        <f>3*U64/'TTS Design Calcs'!$I$97/'TTS Design Calcs'!$L$97/'TTS Design Calcs'!$O$97/'TTS Design Calcs'!$R$97</f>
        <v>77.37853557937197</v>
      </c>
      <c r="F64" s="292">
        <f t="shared" si="26"/>
        <v>775.52271344526173</v>
      </c>
      <c r="G64" s="292">
        <f t="shared" si="27"/>
        <v>301.59216633982408</v>
      </c>
      <c r="H64" s="292">
        <f t="shared" si="19"/>
        <v>775.52271344526173</v>
      </c>
      <c r="I64" s="292">
        <f t="shared" si="23"/>
        <v>604.90771648730413</v>
      </c>
      <c r="J64" s="292">
        <f t="shared" si="24"/>
        <v>170.6149969579576</v>
      </c>
      <c r="K64" s="292">
        <v>0</v>
      </c>
      <c r="L64" s="292">
        <f t="shared" si="28"/>
        <v>906.4998828271282</v>
      </c>
      <c r="M64" s="107">
        <v>2533.5862457457283</v>
      </c>
      <c r="N64" s="292">
        <v>479</v>
      </c>
      <c r="O64" s="107">
        <f t="shared" si="20"/>
        <v>2531.1734534241405</v>
      </c>
      <c r="P64" s="411">
        <v>1600</v>
      </c>
      <c r="Q64" s="107">
        <v>2500</v>
      </c>
      <c r="R64" s="107">
        <f t="shared" si="29"/>
        <v>7272.727272727273</v>
      </c>
      <c r="S64" s="292">
        <f t="shared" si="30"/>
        <v>545.66539923954383</v>
      </c>
      <c r="T64" s="107">
        <f>O64*'TTS Design Calcs'!$C$147*D64*3.785*1440/454000</f>
        <v>68460.810675376124</v>
      </c>
      <c r="U64" s="107">
        <v>92154.1217053242</v>
      </c>
      <c r="V64" s="107">
        <f t="shared" si="7"/>
        <v>136921.62135075225</v>
      </c>
      <c r="W64" s="107">
        <f t="shared" si="8"/>
        <v>18509.774738157248</v>
      </c>
      <c r="X64" s="107">
        <f>O64*'TTS Design Calcs'!$C$224*D64*3.785*1440/454000</f>
        <v>17180.403440915816</v>
      </c>
      <c r="Y64" s="107">
        <f t="shared" si="9"/>
        <v>3135.4236279671363</v>
      </c>
      <c r="Z64" s="107">
        <f>'TTS Design Calcs'!$C$269*(D64)/365</f>
        <v>129.42475619004921</v>
      </c>
      <c r="AA64" s="306">
        <f t="shared" si="16"/>
        <v>23.620018004683981</v>
      </c>
      <c r="AB64" s="293">
        <f>(L64-$A$121)*1440*'TTS Design Calcs'!$C$284</f>
        <v>48.419069045667825</v>
      </c>
      <c r="AC64" s="293">
        <f t="shared" si="17"/>
        <v>8.836480100834379</v>
      </c>
      <c r="AD64" s="107">
        <f>H64*'TTS Design Calcs'!$C$343</f>
        <v>10203.847778023477</v>
      </c>
      <c r="AE64" s="107">
        <f>H64*'TTS Design Calcs'!$C$352</f>
        <v>3401.2825926744931</v>
      </c>
      <c r="AF64" s="292">
        <f>H64*'TTS Design Calcs'!$C$309</f>
        <v>3543.5422445114264</v>
      </c>
      <c r="AG64" s="292">
        <f>H64*'TTS Design Calcs'!$C$317</f>
        <v>3543.5422445114264</v>
      </c>
      <c r="AH64" s="107">
        <f>H64*'TTS Design Calcs'!$C$326</f>
        <v>590.59037408523773</v>
      </c>
      <c r="AI64" s="302">
        <f>H64*'TTS Design Calcs'!$C$334</f>
        <v>590.59037408523773</v>
      </c>
      <c r="AJ64" s="304">
        <f>'TTS Design Calcs'!$C$381*H64</f>
        <v>1022936.6210872267</v>
      </c>
      <c r="AK64" s="304">
        <f>'TTS Design Calcs'!$C$390*D64</f>
        <v>295976.7660944396</v>
      </c>
      <c r="AL64" s="305">
        <f t="shared" si="21"/>
        <v>1318913.3871816662</v>
      </c>
      <c r="AM64" s="452"/>
      <c r="AN64" s="452"/>
      <c r="AO64" s="452">
        <f t="shared" si="18"/>
        <v>24988.195896512283</v>
      </c>
    </row>
    <row r="65" spans="1:41" s="91" customFormat="1" ht="15" customHeight="1" x14ac:dyDescent="0.25">
      <c r="A65" s="106">
        <v>55</v>
      </c>
      <c r="B65" s="292">
        <v>997.67987019792326</v>
      </c>
      <c r="C65" s="292">
        <f t="shared" si="25"/>
        <v>697.67987019792326</v>
      </c>
      <c r="D65" s="292">
        <f t="shared" si="22"/>
        <v>1074.8708926970735</v>
      </c>
      <c r="E65" s="292">
        <f>3*U65/'TTS Design Calcs'!$I$97/'TTS Design Calcs'!$L$97/'TTS Design Calcs'!$O$97/'TTS Design Calcs'!$R$97</f>
        <v>77.191022499150336</v>
      </c>
      <c r="F65" s="292">
        <f t="shared" si="26"/>
        <v>773.90704274189284</v>
      </c>
      <c r="G65" s="292">
        <f t="shared" si="27"/>
        <v>300.96384995518059</v>
      </c>
      <c r="H65" s="292">
        <f t="shared" si="19"/>
        <v>773.90704274189284</v>
      </c>
      <c r="I65" s="292">
        <f t="shared" si="23"/>
        <v>603.64749333867644</v>
      </c>
      <c r="J65" s="292">
        <f t="shared" si="24"/>
        <v>170.2595494032164</v>
      </c>
      <c r="K65" s="292">
        <v>0</v>
      </c>
      <c r="L65" s="292">
        <f t="shared" si="28"/>
        <v>904.61134329385709</v>
      </c>
      <c r="M65" s="107">
        <v>2530.7105329409724</v>
      </c>
      <c r="N65" s="292">
        <v>479</v>
      </c>
      <c r="O65" s="107">
        <f t="shared" si="20"/>
        <v>2528.5050797509075</v>
      </c>
      <c r="P65" s="411">
        <v>1600</v>
      </c>
      <c r="Q65" s="107">
        <v>2500</v>
      </c>
      <c r="R65" s="107">
        <f t="shared" si="29"/>
        <v>7272.727272727273</v>
      </c>
      <c r="S65" s="292">
        <f t="shared" si="30"/>
        <v>545.66539923954372</v>
      </c>
      <c r="T65" s="107">
        <f>O65*'TTS Design Calcs'!$C$147*D65*3.785*1440/454000</f>
        <v>68246.162812838491</v>
      </c>
      <c r="U65" s="107">
        <v>91930.802627408077</v>
      </c>
      <c r="V65" s="107">
        <f t="shared" si="7"/>
        <v>136492.32562567698</v>
      </c>
      <c r="W65" s="107">
        <f t="shared" si="8"/>
        <v>18451.740316063737</v>
      </c>
      <c r="X65" s="107">
        <f>O65*'TTS Design Calcs'!$C$224*D65*3.785*1440/454000</f>
        <v>17126.537048745657</v>
      </c>
      <c r="Y65" s="107">
        <f t="shared" si="9"/>
        <v>3125.5930113960821</v>
      </c>
      <c r="Z65" s="107">
        <f>'TTS Design Calcs'!$C$269*(D65)/365</f>
        <v>129.15512155106106</v>
      </c>
      <c r="AA65" s="306">
        <f t="shared" si="16"/>
        <v>23.570809683068646</v>
      </c>
      <c r="AB65" s="293">
        <f>(L65-$A$121)*1440*'TTS Design Calcs'!$C$284</f>
        <v>48.268300135984475</v>
      </c>
      <c r="AC65" s="293">
        <f t="shared" si="17"/>
        <v>8.8089647748171664</v>
      </c>
      <c r="AD65" s="107">
        <f>H65*'TTS Design Calcs'!$C$343</f>
        <v>10182.589783085652</v>
      </c>
      <c r="AE65" s="107">
        <f>H65*'TTS Design Calcs'!$C$352</f>
        <v>3394.1965943618848</v>
      </c>
      <c r="AF65" s="292">
        <f>H65*'TTS Design Calcs'!$C$309</f>
        <v>3536.1598722206486</v>
      </c>
      <c r="AG65" s="292">
        <f>H65*'TTS Design Calcs'!$C$317</f>
        <v>3536.1598722206486</v>
      </c>
      <c r="AH65" s="107">
        <f>H65*'TTS Design Calcs'!$C$326</f>
        <v>589.35997870344147</v>
      </c>
      <c r="AI65" s="302">
        <f>H65*'TTS Design Calcs'!$C$334</f>
        <v>589.35997870344147</v>
      </c>
      <c r="AJ65" s="304">
        <f>'TTS Design Calcs'!$C$381*H65</f>
        <v>1020805.5052585857</v>
      </c>
      <c r="AK65" s="304">
        <f>'TTS Design Calcs'!$C$390*D65</f>
        <v>295360.14844860398</v>
      </c>
      <c r="AL65" s="305">
        <f t="shared" si="21"/>
        <v>1316165.6537071897</v>
      </c>
      <c r="AM65" s="452"/>
      <c r="AN65" s="452"/>
      <c r="AO65" s="452">
        <f t="shared" si="18"/>
        <v>24909.849426686047</v>
      </c>
    </row>
    <row r="66" spans="1:41" s="91" customFormat="1" ht="15" customHeight="1" x14ac:dyDescent="0.25">
      <c r="A66" s="106">
        <v>56</v>
      </c>
      <c r="B66" s="292">
        <v>995.67564103324571</v>
      </c>
      <c r="C66" s="292">
        <f t="shared" si="25"/>
        <v>695.67564103324571</v>
      </c>
      <c r="D66" s="292">
        <f t="shared" si="22"/>
        <v>1072.6835972455128</v>
      </c>
      <c r="E66" s="292">
        <f>3*U66/'TTS Design Calcs'!$I$97/'TTS Design Calcs'!$L$97/'TTS Design Calcs'!$O$97/'TTS Design Calcs'!$R$97</f>
        <v>77.007956212267061</v>
      </c>
      <c r="F66" s="292">
        <f t="shared" si="26"/>
        <v>772.33219001676923</v>
      </c>
      <c r="G66" s="292">
        <f t="shared" si="27"/>
        <v>300.3514072287436</v>
      </c>
      <c r="H66" s="292">
        <f t="shared" si="19"/>
        <v>772.33219001676923</v>
      </c>
      <c r="I66" s="292">
        <f t="shared" si="23"/>
        <v>602.41910821307999</v>
      </c>
      <c r="J66" s="292">
        <f t="shared" si="24"/>
        <v>169.91308180368924</v>
      </c>
      <c r="K66" s="292">
        <v>0</v>
      </c>
      <c r="L66" s="292">
        <f t="shared" si="28"/>
        <v>902.77051544182359</v>
      </c>
      <c r="M66" s="107">
        <v>2527.8901193085931</v>
      </c>
      <c r="N66" s="292">
        <v>479</v>
      </c>
      <c r="O66" s="107">
        <f t="shared" si="20"/>
        <v>2525.8878876235121</v>
      </c>
      <c r="P66" s="411">
        <v>1600</v>
      </c>
      <c r="Q66" s="107">
        <v>2500</v>
      </c>
      <c r="R66" s="107">
        <f t="shared" si="29"/>
        <v>7272.727272727273</v>
      </c>
      <c r="S66" s="292">
        <f t="shared" si="30"/>
        <v>545.66539923954372</v>
      </c>
      <c r="T66" s="107">
        <f>O66*'TTS Design Calcs'!$C$147*D66*3.785*1440/454000</f>
        <v>68036.789971811231</v>
      </c>
      <c r="U66" s="107">
        <v>91712.779466911874</v>
      </c>
      <c r="V66" s="107">
        <f t="shared" si="7"/>
        <v>136073.57994362246</v>
      </c>
      <c r="W66" s="107">
        <f t="shared" si="8"/>
        <v>18395.132103489705</v>
      </c>
      <c r="X66" s="107">
        <f>O66*'TTS Design Calcs'!$C$224*D66*3.785*1440/454000</f>
        <v>17073.994435783101</v>
      </c>
      <c r="Y66" s="107">
        <f t="shared" si="9"/>
        <v>3116.0039845304159</v>
      </c>
      <c r="Z66" s="107">
        <f>'TTS Design Calcs'!$C$269*(D66)/365</f>
        <v>128.89229890711957</v>
      </c>
      <c r="AA66" s="306">
        <f t="shared" si="16"/>
        <v>23.522844550549323</v>
      </c>
      <c r="AB66" s="293">
        <f>(L66-$A$121)*1440*'TTS Design Calcs'!$C$284</f>
        <v>48.121340221576368</v>
      </c>
      <c r="AC66" s="293">
        <f t="shared" si="17"/>
        <v>8.7821445904376869</v>
      </c>
      <c r="AD66" s="107">
        <f>H66*'TTS Design Calcs'!$C$343</f>
        <v>10161.868845837305</v>
      </c>
      <c r="AE66" s="107">
        <f>H66*'TTS Design Calcs'!$C$352</f>
        <v>3387.2896152791027</v>
      </c>
      <c r="AF66" s="292">
        <f>H66*'TTS Design Calcs'!$C$309</f>
        <v>3528.9640066920069</v>
      </c>
      <c r="AG66" s="292">
        <f>H66*'TTS Design Calcs'!$C$317</f>
        <v>3528.9640066920069</v>
      </c>
      <c r="AH66" s="107">
        <f>H66*'TTS Design Calcs'!$C$326</f>
        <v>588.16066778200116</v>
      </c>
      <c r="AI66" s="302">
        <f>H66*'TTS Design Calcs'!$C$334</f>
        <v>588.16066778200116</v>
      </c>
      <c r="AJ66" s="304">
        <f>'TTS Design Calcs'!$C$381*H66</f>
        <v>1018728.2295097024</v>
      </c>
      <c r="AK66" s="304">
        <f>'TTS Design Calcs'!$C$390*D66</f>
        <v>294759.10890640109</v>
      </c>
      <c r="AL66" s="305">
        <f t="shared" si="21"/>
        <v>1313487.3384161035</v>
      </c>
      <c r="AM66" s="452"/>
      <c r="AN66" s="452"/>
      <c r="AO66" s="452">
        <f t="shared" si="18"/>
        <v>24833.428339711099</v>
      </c>
    </row>
    <row r="67" spans="1:41" s="91" customFormat="1" ht="15" customHeight="1" x14ac:dyDescent="0.25">
      <c r="A67" s="106">
        <v>57</v>
      </c>
      <c r="B67" s="292">
        <v>993.7244136706496</v>
      </c>
      <c r="C67" s="292">
        <f t="shared" si="25"/>
        <v>693.7244136706496</v>
      </c>
      <c r="D67" s="292">
        <f t="shared" si="22"/>
        <v>1070.5537749213659</v>
      </c>
      <c r="E67" s="292">
        <f>3*U67/'TTS Design Calcs'!$I$97/'TTS Design Calcs'!$L$97/'TTS Design Calcs'!$O$97/'TTS Design Calcs'!$R$97</f>
        <v>76.829361250716303</v>
      </c>
      <c r="F67" s="292">
        <f t="shared" si="26"/>
        <v>770.79871794338339</v>
      </c>
      <c r="G67" s="292">
        <f t="shared" si="27"/>
        <v>299.75505697798246</v>
      </c>
      <c r="H67" s="292">
        <f t="shared" si="19"/>
        <v>770.79871794338339</v>
      </c>
      <c r="I67" s="292">
        <f t="shared" si="23"/>
        <v>601.22299999583902</v>
      </c>
      <c r="J67" s="292">
        <f t="shared" si="24"/>
        <v>169.57571794754438</v>
      </c>
      <c r="K67" s="292">
        <v>0</v>
      </c>
      <c r="L67" s="292">
        <f t="shared" si="28"/>
        <v>900.97805697382148</v>
      </c>
      <c r="M67" s="107">
        <v>2525.1249591055116</v>
      </c>
      <c r="N67" s="292">
        <v>479</v>
      </c>
      <c r="O67" s="107">
        <f t="shared" si="20"/>
        <v>2523.3218413128825</v>
      </c>
      <c r="P67" s="411">
        <v>1600</v>
      </c>
      <c r="Q67" s="107">
        <v>2500</v>
      </c>
      <c r="R67" s="107">
        <f t="shared" si="29"/>
        <v>7272.727272727273</v>
      </c>
      <c r="S67" s="292">
        <f t="shared" si="30"/>
        <v>545.66539923954383</v>
      </c>
      <c r="T67" s="107">
        <f>O67*'TTS Design Calcs'!$C$147*D67*3.785*1440/454000</f>
        <v>67832.721098283393</v>
      </c>
      <c r="U67" s="107">
        <v>91500.081440263079</v>
      </c>
      <c r="V67" s="107">
        <f t="shared" si="7"/>
        <v>135665.44219656679</v>
      </c>
      <c r="W67" s="107">
        <f t="shared" si="8"/>
        <v>18339.957926572919</v>
      </c>
      <c r="X67" s="107">
        <f>O67*'TTS Design Calcs'!$C$224*D67*3.785*1440/454000</f>
        <v>17022.782866093024</v>
      </c>
      <c r="Y67" s="107">
        <f t="shared" si="9"/>
        <v>3106.6578730619767</v>
      </c>
      <c r="Z67" s="107">
        <f>'TTS Design Calcs'!$C$269*(D67)/365</f>
        <v>128.63638216118636</v>
      </c>
      <c r="AA67" s="306">
        <f t="shared" si="16"/>
        <v>23.476139744416511</v>
      </c>
      <c r="AB67" s="293">
        <f>(L67-$A$121)*1440*'TTS Design Calcs'!$C$284</f>
        <v>47.978241809225274</v>
      </c>
      <c r="AC67" s="293">
        <f t="shared" si="17"/>
        <v>8.7560291301836131</v>
      </c>
      <c r="AD67" s="107">
        <f>H67*'TTS Design Calcs'!$C$343</f>
        <v>10141.69236958793</v>
      </c>
      <c r="AE67" s="107">
        <f>H67*'TTS Design Calcs'!$C$352</f>
        <v>3380.5641231959776</v>
      </c>
      <c r="AF67" s="292">
        <f>H67*'TTS Design Calcs'!$C$309</f>
        <v>3521.9572189105361</v>
      </c>
      <c r="AG67" s="292">
        <f>H67*'TTS Design Calcs'!$C$317</f>
        <v>3521.9572189105361</v>
      </c>
      <c r="AH67" s="107">
        <f>H67*'TTS Design Calcs'!$C$326</f>
        <v>586.99286981842272</v>
      </c>
      <c r="AI67" s="302">
        <f>H67*'TTS Design Calcs'!$C$334</f>
        <v>586.99286981842272</v>
      </c>
      <c r="AJ67" s="304">
        <f>'TTS Design Calcs'!$C$381*H67</f>
        <v>1016705.536022993</v>
      </c>
      <c r="AK67" s="304">
        <f>'TTS Design Calcs'!$C$390*D67</f>
        <v>294173.86221109726</v>
      </c>
      <c r="AL67" s="305">
        <f t="shared" si="21"/>
        <v>1310879.3982340903</v>
      </c>
      <c r="AM67" s="452"/>
      <c r="AN67" s="452"/>
      <c r="AO67" s="452">
        <f t="shared" si="18"/>
        <v>24758.943200873437</v>
      </c>
    </row>
    <row r="68" spans="1:41" s="91" customFormat="1" ht="15" customHeight="1" x14ac:dyDescent="0.25">
      <c r="A68" s="106">
        <v>58</v>
      </c>
      <c r="B68" s="292">
        <v>991.82118466129816</v>
      </c>
      <c r="C68" s="292">
        <f t="shared" si="25"/>
        <v>691.82118466129816</v>
      </c>
      <c r="D68" s="292">
        <f t="shared" si="22"/>
        <v>1068.4760366058499</v>
      </c>
      <c r="E68" s="292">
        <f>3*U68/'TTS Design Calcs'!$I$97/'TTS Design Calcs'!$L$97/'TTS Design Calcs'!$O$97/'TTS Design Calcs'!$R$97</f>
        <v>76.654851944551638</v>
      </c>
      <c r="F68" s="292">
        <f t="shared" si="26"/>
        <v>769.30274635621186</v>
      </c>
      <c r="G68" s="292">
        <f t="shared" si="27"/>
        <v>299.173290249638</v>
      </c>
      <c r="H68" s="292">
        <f t="shared" si="19"/>
        <v>769.30274635621186</v>
      </c>
      <c r="I68" s="292">
        <f t="shared" si="23"/>
        <v>600.05614215784522</v>
      </c>
      <c r="J68" s="292">
        <f t="shared" si="24"/>
        <v>169.24660419836664</v>
      </c>
      <c r="K68" s="292">
        <v>0</v>
      </c>
      <c r="L68" s="292">
        <f t="shared" si="28"/>
        <v>899.22943240748327</v>
      </c>
      <c r="M68" s="107">
        <v>2522.4111553465723</v>
      </c>
      <c r="N68" s="292">
        <v>479</v>
      </c>
      <c r="O68" s="107">
        <f t="shared" si="20"/>
        <v>2520.8033291191773</v>
      </c>
      <c r="P68" s="411">
        <v>1600</v>
      </c>
      <c r="Q68" s="107">
        <v>2500</v>
      </c>
      <c r="R68" s="107">
        <f t="shared" si="29"/>
        <v>7272.727272727273</v>
      </c>
      <c r="S68" s="292">
        <f t="shared" si="30"/>
        <v>545.66539923954383</v>
      </c>
      <c r="T68" s="107">
        <f>O68*'TTS Design Calcs'!$C$147*D68*3.785*1440/454000</f>
        <v>67633.498847474344</v>
      </c>
      <c r="U68" s="107">
        <v>91292.249233067647</v>
      </c>
      <c r="V68" s="107">
        <f t="shared" si="7"/>
        <v>135266.99769494869</v>
      </c>
      <c r="W68" s="107">
        <f t="shared" si="8"/>
        <v>18286.094132835657</v>
      </c>
      <c r="X68" s="107">
        <f>O68*'TTS Design Calcs'!$C$224*D68*3.785*1440/454000</f>
        <v>16972.787567913801</v>
      </c>
      <c r="Y68" s="107">
        <f t="shared" si="9"/>
        <v>3097.533731144269</v>
      </c>
      <c r="Z68" s="107">
        <f>'TTS Design Calcs'!$C$269*(D68)/365</f>
        <v>128.38672376359182</v>
      </c>
      <c r="AA68" s="306">
        <f t="shared" si="16"/>
        <v>23.430577086855507</v>
      </c>
      <c r="AB68" s="293">
        <f>(L68-$A$121)*1440*'TTS Design Calcs'!$C$284</f>
        <v>47.838642815046065</v>
      </c>
      <c r="AC68" s="293">
        <f t="shared" si="17"/>
        <v>8.7305523137459069</v>
      </c>
      <c r="AD68" s="107">
        <f>H68*'TTS Design Calcs'!$C$343</f>
        <v>10122.009301521575</v>
      </c>
      <c r="AE68" s="107">
        <f>H68*'TTS Design Calcs'!$C$352</f>
        <v>3374.0031005071928</v>
      </c>
      <c r="AF68" s="292">
        <f>H68*'TTS Design Calcs'!$C$309</f>
        <v>3515.1217795045372</v>
      </c>
      <c r="AG68" s="292">
        <f>H68*'TTS Design Calcs'!$C$317</f>
        <v>3515.1217795045372</v>
      </c>
      <c r="AH68" s="107">
        <f>H68*'TTS Design Calcs'!$C$326</f>
        <v>585.85362991742284</v>
      </c>
      <c r="AI68" s="302">
        <f>H68*'TTS Design Calcs'!$C$334</f>
        <v>585.85362991742284</v>
      </c>
      <c r="AJ68" s="304">
        <f>'TTS Design Calcs'!$C$381*H68</f>
        <v>1014732.3067492489</v>
      </c>
      <c r="AK68" s="304">
        <f>'TTS Design Calcs'!$C$390*D68</f>
        <v>293602.92750491289</v>
      </c>
      <c r="AL68" s="305">
        <f t="shared" si="21"/>
        <v>1308335.2342541618</v>
      </c>
      <c r="AM68" s="452"/>
      <c r="AN68" s="452"/>
      <c r="AO68" s="452">
        <f t="shared" si="18"/>
        <v>24686.227079328135</v>
      </c>
    </row>
    <row r="69" spans="1:41" s="91" customFormat="1" ht="15" customHeight="1" x14ac:dyDescent="0.25">
      <c r="A69" s="106">
        <v>59</v>
      </c>
      <c r="B69" s="292">
        <v>989.96468240103695</v>
      </c>
      <c r="C69" s="292">
        <f t="shared" si="25"/>
        <v>689.96468240103695</v>
      </c>
      <c r="D69" s="292">
        <f t="shared" si="22"/>
        <v>1066.4490254160985</v>
      </c>
      <c r="E69" s="292">
        <f>3*U69/'TTS Design Calcs'!$I$97/'TTS Design Calcs'!$L$97/'TTS Design Calcs'!$O$97/'TTS Design Calcs'!$R$97</f>
        <v>76.484343015061597</v>
      </c>
      <c r="F69" s="292">
        <f t="shared" si="26"/>
        <v>767.84329829959086</v>
      </c>
      <c r="G69" s="292">
        <f t="shared" si="27"/>
        <v>298.60572711650758</v>
      </c>
      <c r="H69" s="292">
        <f t="shared" si="19"/>
        <v>767.84329829959097</v>
      </c>
      <c r="I69" s="292">
        <f t="shared" si="23"/>
        <v>598.91777267368093</v>
      </c>
      <c r="J69" s="292">
        <f t="shared" si="24"/>
        <v>168.92552562591004</v>
      </c>
      <c r="K69" s="292">
        <v>0</v>
      </c>
      <c r="L69" s="292">
        <f t="shared" si="28"/>
        <v>897.52349979018845</v>
      </c>
      <c r="M69" s="107">
        <v>2519.7487849121048</v>
      </c>
      <c r="N69" s="292">
        <v>479</v>
      </c>
      <c r="O69" s="107">
        <f t="shared" si="20"/>
        <v>2518.3324276335575</v>
      </c>
      <c r="P69" s="411">
        <v>1600</v>
      </c>
      <c r="Q69" s="107">
        <v>2500</v>
      </c>
      <c r="R69" s="107">
        <f t="shared" si="29"/>
        <v>7272.727272727273</v>
      </c>
      <c r="S69" s="292">
        <f t="shared" si="30"/>
        <v>545.66539923954383</v>
      </c>
      <c r="T69" s="107">
        <f>O69*'TTS Design Calcs'!$C$147*D69*3.785*1440/454000</f>
        <v>67439.022143597904</v>
      </c>
      <c r="U69" s="107">
        <v>91089.181282473626</v>
      </c>
      <c r="V69" s="107">
        <f t="shared" si="7"/>
        <v>134878.04428719581</v>
      </c>
      <c r="W69" s="107">
        <f t="shared" si="8"/>
        <v>18233.513394380174</v>
      </c>
      <c r="X69" s="107">
        <f>O69*'TTS Design Calcs'!$C$224*D69*3.785*1440/454000</f>
        <v>16923.983176036236</v>
      </c>
      <c r="Y69" s="107">
        <f t="shared" si="9"/>
        <v>3088.6269296266128</v>
      </c>
      <c r="Z69" s="107">
        <f>'TTS Design Calcs'!$C$269*(D69)/365</f>
        <v>128.14316067301377</v>
      </c>
      <c r="AA69" s="306">
        <f t="shared" si="16"/>
        <v>23.386126822825013</v>
      </c>
      <c r="AB69" s="293">
        <f>(L69-$A$121)*1440*'TTS Design Calcs'!$C$284</f>
        <v>47.702452072849994</v>
      </c>
      <c r="AC69" s="293">
        <f t="shared" si="17"/>
        <v>8.7056975032951236</v>
      </c>
      <c r="AD69" s="107">
        <f>H69*'TTS Design Calcs'!$C$343</f>
        <v>10102.806787460402</v>
      </c>
      <c r="AE69" s="107">
        <f>H69*'TTS Design Calcs'!$C$352</f>
        <v>3367.6022624868019</v>
      </c>
      <c r="AF69" s="292">
        <f>H69*'TTS Design Calcs'!$C$309</f>
        <v>3508.4532245381311</v>
      </c>
      <c r="AG69" s="292">
        <f>H69*'TTS Design Calcs'!$C$317</f>
        <v>3508.4532245381311</v>
      </c>
      <c r="AH69" s="107">
        <f>H69*'TTS Design Calcs'!$C$326</f>
        <v>584.74220408968847</v>
      </c>
      <c r="AI69" s="302">
        <f>H69*'TTS Design Calcs'!$C$334</f>
        <v>584.74220408968847</v>
      </c>
      <c r="AJ69" s="304">
        <f>'TTS Design Calcs'!$C$381*H69</f>
        <v>1012807.2530560311</v>
      </c>
      <c r="AK69" s="304">
        <f>'TTS Design Calcs'!$C$390*D69</f>
        <v>293045.93193458009</v>
      </c>
      <c r="AL69" s="305">
        <f t="shared" si="21"/>
        <v>1305853.1849906112</v>
      </c>
      <c r="AM69" s="452"/>
      <c r="AN69" s="452"/>
      <c r="AO69" s="452">
        <f t="shared" si="18"/>
        <v>24615.243082413235</v>
      </c>
    </row>
    <row r="70" spans="1:41" s="91" customFormat="1" ht="15" customHeight="1" x14ac:dyDescent="0.25">
      <c r="A70" s="106">
        <v>60</v>
      </c>
      <c r="B70" s="292">
        <v>988.15848979480688</v>
      </c>
      <c r="C70" s="292">
        <f t="shared" si="25"/>
        <v>688.15848979480688</v>
      </c>
      <c r="D70" s="292">
        <f t="shared" si="22"/>
        <v>1064.4766187421085</v>
      </c>
      <c r="E70" s="292">
        <f>3*U70/'TTS Design Calcs'!$I$97/'TTS Design Calcs'!$L$97/'TTS Design Calcs'!$O$97/'TTS Design Calcs'!$R$97</f>
        <v>76.318128947301574</v>
      </c>
      <c r="F70" s="292">
        <f t="shared" si="26"/>
        <v>766.42316549431803</v>
      </c>
      <c r="G70" s="292">
        <f t="shared" si="27"/>
        <v>298.0534532477904</v>
      </c>
      <c r="H70" s="292">
        <f t="shared" si="19"/>
        <v>766.42316549431803</v>
      </c>
      <c r="I70" s="292">
        <f t="shared" si="23"/>
        <v>597.8100690855681</v>
      </c>
      <c r="J70" s="292">
        <f t="shared" si="24"/>
        <v>168.61309640874993</v>
      </c>
      <c r="K70" s="292">
        <v>0</v>
      </c>
      <c r="L70" s="292">
        <f t="shared" si="28"/>
        <v>895.86352233335856</v>
      </c>
      <c r="M70" s="107">
        <v>2517.1427201596566</v>
      </c>
      <c r="N70" s="292">
        <v>479</v>
      </c>
      <c r="O70" s="107">
        <f t="shared" si="20"/>
        <v>2515.9136651436825</v>
      </c>
      <c r="P70" s="411">
        <v>1600</v>
      </c>
      <c r="Q70" s="107">
        <v>2500</v>
      </c>
      <c r="R70" s="107">
        <f t="shared" si="29"/>
        <v>7272.727272727273</v>
      </c>
      <c r="S70" s="292">
        <f t="shared" si="30"/>
        <v>545.66539923954372</v>
      </c>
      <c r="T70" s="107">
        <f>O70*'TTS Design Calcs'!$C$147*D70*3.785*1440/454000</f>
        <v>67249.64027264576</v>
      </c>
      <c r="U70" s="107">
        <v>90891.228306046702</v>
      </c>
      <c r="V70" s="107">
        <f t="shared" si="7"/>
        <v>134499.28054529152</v>
      </c>
      <c r="W70" s="107">
        <f t="shared" si="8"/>
        <v>18182.310147789409</v>
      </c>
      <c r="X70" s="107">
        <f>O70*'TTS Design Calcs'!$C$224*D70*3.785*1440/454000</f>
        <v>16876.457344611579</v>
      </c>
      <c r="Y70" s="107">
        <f t="shared" si="9"/>
        <v>3079.953465391613</v>
      </c>
      <c r="Z70" s="107">
        <f>'TTS Design Calcs'!$C$269*(D70)/365</f>
        <v>127.90615879171051</v>
      </c>
      <c r="AA70" s="306">
        <f t="shared" si="16"/>
        <v>23.34287397948717</v>
      </c>
      <c r="AB70" s="293">
        <f>(L70-$A$121)*1440*'TTS Design Calcs'!$C$284</f>
        <v>47.569930096552419</v>
      </c>
      <c r="AC70" s="293">
        <f t="shared" si="17"/>
        <v>8.6815122426208156</v>
      </c>
      <c r="AD70" s="107">
        <f>H70*'TTS Design Calcs'!$C$343</f>
        <v>10084.121559138453</v>
      </c>
      <c r="AE70" s="107">
        <f>H70*'TTS Design Calcs'!$C$352</f>
        <v>3361.3738530461519</v>
      </c>
      <c r="AF70" s="292">
        <f>H70*'TTS Design Calcs'!$C$309</f>
        <v>3501.9643100278836</v>
      </c>
      <c r="AG70" s="292">
        <f>H70*'TTS Design Calcs'!$C$317</f>
        <v>3501.9643100278836</v>
      </c>
      <c r="AH70" s="107">
        <f>H70*'TTS Design Calcs'!$C$326</f>
        <v>583.6607183379806</v>
      </c>
      <c r="AI70" s="302">
        <f>H70*'TTS Design Calcs'!$C$334</f>
        <v>583.6607183379806</v>
      </c>
      <c r="AJ70" s="304">
        <f>'TTS Design Calcs'!$C$381*H70</f>
        <v>1010934.0573028501</v>
      </c>
      <c r="AK70" s="304">
        <f>'TTS Design Calcs'!$C$390*D70</f>
        <v>292503.94095502258</v>
      </c>
      <c r="AL70" s="305">
        <f t="shared" si="21"/>
        <v>1303437.9982578726</v>
      </c>
      <c r="AM70" s="452"/>
      <c r="AN70" s="452"/>
      <c r="AO70" s="452">
        <f t="shared" si="18"/>
        <v>24546.118699515704</v>
      </c>
    </row>
    <row r="71" spans="1:41" s="91" customFormat="1" ht="15" customHeight="1" x14ac:dyDescent="0.25">
      <c r="A71" s="106">
        <v>61</v>
      </c>
      <c r="B71" s="292">
        <v>986.39130679688196</v>
      </c>
      <c r="C71" s="292">
        <f t="shared" si="25"/>
        <v>686.39130679688196</v>
      </c>
      <c r="D71" s="292">
        <f t="shared" si="22"/>
        <v>1062.5465088446231</v>
      </c>
      <c r="E71" s="292">
        <f>3*U71/'TTS Design Calcs'!$I$97/'TTS Design Calcs'!$L$97/'TTS Design Calcs'!$O$97/'TTS Design Calcs'!$R$97</f>
        <v>76.155202047741184</v>
      </c>
      <c r="F71" s="292">
        <f t="shared" si="26"/>
        <v>765.03348636812859</v>
      </c>
      <c r="G71" s="292">
        <f t="shared" si="27"/>
        <v>297.51302247649448</v>
      </c>
      <c r="H71" s="292">
        <f t="shared" si="19"/>
        <v>765.03348636812859</v>
      </c>
      <c r="I71" s="292">
        <f t="shared" si="23"/>
        <v>596.72611936714031</v>
      </c>
      <c r="J71" s="292">
        <f t="shared" si="24"/>
        <v>168.30736700098828</v>
      </c>
      <c r="K71" s="292">
        <v>0</v>
      </c>
      <c r="L71" s="292">
        <f t="shared" si="28"/>
        <v>894.2391418436348</v>
      </c>
      <c r="M71" s="107">
        <v>2514.576762545807</v>
      </c>
      <c r="N71" s="292">
        <v>479</v>
      </c>
      <c r="O71" s="107">
        <f t="shared" si="20"/>
        <v>2513.5320117630063</v>
      </c>
      <c r="P71" s="411">
        <v>1600</v>
      </c>
      <c r="Q71" s="107">
        <v>2500</v>
      </c>
      <c r="R71" s="107">
        <f t="shared" si="29"/>
        <v>7272.727272727273</v>
      </c>
      <c r="S71" s="292">
        <f t="shared" si="30"/>
        <v>545.66539923954372</v>
      </c>
      <c r="T71" s="107">
        <f>O71*'TTS Design Calcs'!$C$147*D71*3.785*1440/454000</f>
        <v>67064.157696595357</v>
      </c>
      <c r="U71" s="107">
        <v>90697.190189161454</v>
      </c>
      <c r="V71" s="107">
        <f t="shared" si="7"/>
        <v>134128.31539319071</v>
      </c>
      <c r="W71" s="107">
        <f t="shared" si="8"/>
        <v>18132.161155005411</v>
      </c>
      <c r="X71" s="107">
        <f>O71*'TTS Design Calcs'!$C$224*D71*3.785*1440/454000</f>
        <v>16829.910050526552</v>
      </c>
      <c r="Y71" s="107">
        <f t="shared" si="9"/>
        <v>3071.4585842210959</v>
      </c>
      <c r="Z71" s="107">
        <f>'TTS Design Calcs'!$C$269*(D71)/365</f>
        <v>127.67423923736187</v>
      </c>
      <c r="AA71" s="306">
        <f t="shared" si="16"/>
        <v>23.300548660818542</v>
      </c>
      <c r="AB71" s="293">
        <f>(L71-$A$121)*1440*'TTS Design Calcs'!$C$284</f>
        <v>47.440249954288007</v>
      </c>
      <c r="AC71" s="293">
        <f t="shared" si="17"/>
        <v>8.6578456166575624</v>
      </c>
      <c r="AD71" s="107">
        <f>H71*'TTS Design Calcs'!$C$343</f>
        <v>10065.837021473608</v>
      </c>
      <c r="AE71" s="107">
        <f>H71*'TTS Design Calcs'!$C$352</f>
        <v>3355.2790071578697</v>
      </c>
      <c r="AF71" s="292">
        <f>H71*'TTS Design Calcs'!$C$309</f>
        <v>3495.6145454051411</v>
      </c>
      <c r="AG71" s="292">
        <f>H71*'TTS Design Calcs'!$C$317</f>
        <v>3495.6145454051411</v>
      </c>
      <c r="AH71" s="107">
        <f>H71*'TTS Design Calcs'!$C$326</f>
        <v>582.60242423419015</v>
      </c>
      <c r="AI71" s="302">
        <f>H71*'TTS Design Calcs'!$C$334</f>
        <v>582.60242423419015</v>
      </c>
      <c r="AJ71" s="304">
        <f>'TTS Design Calcs'!$C$381*H71</f>
        <v>1009101.0308226527</v>
      </c>
      <c r="AK71" s="304">
        <f>'TTS Design Calcs'!$C$390*D71</f>
        <v>291973.57256406825</v>
      </c>
      <c r="AL71" s="305">
        <f t="shared" si="21"/>
        <v>1301074.6033867211</v>
      </c>
      <c r="AM71" s="452"/>
      <c r="AN71" s="452"/>
      <c r="AO71" s="452">
        <f t="shared" si="18"/>
        <v>24478.417559257305</v>
      </c>
    </row>
    <row r="72" spans="1:41" s="91" customFormat="1" ht="15" customHeight="1" x14ac:dyDescent="0.25">
      <c r="A72" s="106">
        <v>62</v>
      </c>
      <c r="B72" s="292">
        <v>984.66911480519559</v>
      </c>
      <c r="C72" s="292">
        <f t="shared" si="25"/>
        <v>684.66911480519559</v>
      </c>
      <c r="D72" s="292">
        <f t="shared" si="22"/>
        <v>1060.6652316126549</v>
      </c>
      <c r="E72" s="292">
        <f>3*U72/'TTS Design Calcs'!$I$97/'TTS Design Calcs'!$L$97/'TTS Design Calcs'!$O$97/'TTS Design Calcs'!$R$97</f>
        <v>75.996116807459359</v>
      </c>
      <c r="F72" s="292">
        <f t="shared" si="26"/>
        <v>763.6789667611115</v>
      </c>
      <c r="G72" s="292">
        <f t="shared" si="27"/>
        <v>296.98626485154341</v>
      </c>
      <c r="H72" s="292">
        <f t="shared" si="19"/>
        <v>763.6789667611115</v>
      </c>
      <c r="I72" s="292">
        <f t="shared" si="23"/>
        <v>595.66959407366699</v>
      </c>
      <c r="J72" s="292">
        <f t="shared" si="24"/>
        <v>168.00937268744451</v>
      </c>
      <c r="K72" s="292">
        <v>0</v>
      </c>
      <c r="L72" s="292">
        <f t="shared" si="28"/>
        <v>892.6558589252104</v>
      </c>
      <c r="M72" s="107">
        <v>2512.0613746932008</v>
      </c>
      <c r="N72" s="292">
        <v>479</v>
      </c>
      <c r="O72" s="107">
        <f t="shared" si="20"/>
        <v>2511.1971834170813</v>
      </c>
      <c r="P72" s="411">
        <v>1600</v>
      </c>
      <c r="Q72" s="107">
        <v>2500</v>
      </c>
      <c r="R72" s="107">
        <f t="shared" si="29"/>
        <v>7272.727272727273</v>
      </c>
      <c r="S72" s="292">
        <f t="shared" si="30"/>
        <v>545.66539923954383</v>
      </c>
      <c r="T72" s="107">
        <f>O72*'TTS Design Calcs'!$C$147*D72*3.785*1440/454000</f>
        <v>66883.232342432675</v>
      </c>
      <c r="U72" s="107">
        <v>90507.727304077329</v>
      </c>
      <c r="V72" s="107">
        <f t="shared" si="7"/>
        <v>133766.46468486535</v>
      </c>
      <c r="W72" s="107">
        <f t="shared" si="8"/>
        <v>18083.244299991056</v>
      </c>
      <c r="X72" s="107">
        <f>O72*'TTS Design Calcs'!$C$224*D72*3.785*1440/454000</f>
        <v>16784.506402124767</v>
      </c>
      <c r="Y72" s="107">
        <f t="shared" si="9"/>
        <v>3063.17241838777</v>
      </c>
      <c r="Z72" s="107">
        <f>'TTS Design Calcs'!$C$269*(D72)/365</f>
        <v>127.44818735409204</v>
      </c>
      <c r="AA72" s="306">
        <f t="shared" si="16"/>
        <v>23.259294192121796</v>
      </c>
      <c r="AB72" s="293">
        <f>(L72-$A$121)*1440*'TTS Design Calcs'!$C$284</f>
        <v>47.31385077909168</v>
      </c>
      <c r="AC72" s="293">
        <f t="shared" si="17"/>
        <v>8.6347777671842323</v>
      </c>
      <c r="AD72" s="107">
        <f>H72*'TTS Design Calcs'!$C$343</f>
        <v>10048.015090996614</v>
      </c>
      <c r="AE72" s="107">
        <f>H72*'TTS Design Calcs'!$C$352</f>
        <v>3349.338363665539</v>
      </c>
      <c r="AF72" s="292">
        <f>H72*'TTS Design Calcs'!$C$309</f>
        <v>3489.4254327392323</v>
      </c>
      <c r="AG72" s="292">
        <f>H72*'TTS Design Calcs'!$C$317</f>
        <v>3489.4254327392323</v>
      </c>
      <c r="AH72" s="107">
        <f>H72*'TTS Design Calcs'!$C$326</f>
        <v>581.57090545653875</v>
      </c>
      <c r="AI72" s="302">
        <f>H72*'TTS Design Calcs'!$C$334</f>
        <v>581.57090545653875</v>
      </c>
      <c r="AJ72" s="304">
        <f>'TTS Design Calcs'!$C$381*H72</f>
        <v>1007314.3807529946</v>
      </c>
      <c r="AK72" s="304">
        <f>'TTS Design Calcs'!$C$390*D72</f>
        <v>291456.62273662165</v>
      </c>
      <c r="AL72" s="305">
        <f t="shared" si="21"/>
        <v>1298771.0034896163</v>
      </c>
      <c r="AM72" s="452"/>
      <c r="AN72" s="452"/>
      <c r="AO72" s="452">
        <f t="shared" si="18"/>
        <v>24412.379804987926</v>
      </c>
    </row>
    <row r="73" spans="1:41" s="91" customFormat="1" ht="15" customHeight="1" x14ac:dyDescent="0.25">
      <c r="A73" s="106">
        <v>63</v>
      </c>
      <c r="B73" s="292">
        <v>982.98758458857071</v>
      </c>
      <c r="C73" s="292">
        <f t="shared" si="25"/>
        <v>682.98758458857071</v>
      </c>
      <c r="D73" s="292">
        <f t="shared" si="22"/>
        <v>1058.8281257044641</v>
      </c>
      <c r="E73" s="292">
        <f>3*U73/'TTS Design Calcs'!$I$97/'TTS Design Calcs'!$L$97/'TTS Design Calcs'!$O$97/'TTS Design Calcs'!$R$97</f>
        <v>75.84054111589333</v>
      </c>
      <c r="F73" s="292">
        <f t="shared" si="26"/>
        <v>762.3562505072141</v>
      </c>
      <c r="G73" s="292">
        <f t="shared" si="27"/>
        <v>296.47187519724997</v>
      </c>
      <c r="H73" s="292">
        <f t="shared" si="19"/>
        <v>762.3562505072141</v>
      </c>
      <c r="I73" s="292">
        <f t="shared" si="23"/>
        <v>594.63787539562702</v>
      </c>
      <c r="J73" s="292">
        <f t="shared" si="24"/>
        <v>167.71837511158708</v>
      </c>
      <c r="K73" s="292">
        <v>0</v>
      </c>
      <c r="L73" s="292">
        <f t="shared" si="28"/>
        <v>891.10975059287694</v>
      </c>
      <c r="M73" s="107">
        <v>2509.5931100604607</v>
      </c>
      <c r="N73" s="292">
        <v>479</v>
      </c>
      <c r="O73" s="107">
        <f t="shared" si="20"/>
        <v>2508.9059856440344</v>
      </c>
      <c r="P73" s="411">
        <v>1600</v>
      </c>
      <c r="Q73" s="107">
        <v>2500</v>
      </c>
      <c r="R73" s="107">
        <f t="shared" si="29"/>
        <v>7272.727272727273</v>
      </c>
      <c r="S73" s="292">
        <f t="shared" si="30"/>
        <v>545.66539923954383</v>
      </c>
      <c r="T73" s="107">
        <f>O73*'TTS Design Calcs'!$C$147*D73*3.785*1440/454000</f>
        <v>66706.470384895962</v>
      </c>
      <c r="U73" s="107">
        <v>90322.444123055393</v>
      </c>
      <c r="V73" s="107">
        <f t="shared" si="7"/>
        <v>133412.94076979192</v>
      </c>
      <c r="W73" s="107">
        <f t="shared" si="8"/>
        <v>18035.453104064465</v>
      </c>
      <c r="X73" s="107">
        <f>O73*'TTS Design Calcs'!$C$224*D73*3.785*1440/454000</f>
        <v>16740.147568019129</v>
      </c>
      <c r="Y73" s="107">
        <f t="shared" si="9"/>
        <v>3055.0769311634913</v>
      </c>
      <c r="Z73" s="107">
        <f>'TTS Design Calcs'!$C$269*(D73)/365</f>
        <v>127.22744304099675</v>
      </c>
      <c r="AA73" s="306">
        <f t="shared" si="16"/>
        <v>23.219008354981906</v>
      </c>
      <c r="AB73" s="293">
        <f>(L73-$A$121)*1440*'TTS Design Calcs'!$C$284</f>
        <v>47.190419384931502</v>
      </c>
      <c r="AC73" s="293">
        <f t="shared" si="17"/>
        <v>8.612251537749998</v>
      </c>
      <c r="AD73" s="107">
        <f>H73*'TTS Design Calcs'!$C$343</f>
        <v>10030.61160935218</v>
      </c>
      <c r="AE73" s="107">
        <f>H73*'TTS Design Calcs'!$C$352</f>
        <v>3343.5372031173943</v>
      </c>
      <c r="AF73" s="292">
        <f>H73*'TTS Design Calcs'!$C$309</f>
        <v>3483.3816369329629</v>
      </c>
      <c r="AG73" s="292">
        <f>H73*'TTS Design Calcs'!$C$317</f>
        <v>3483.3816369329629</v>
      </c>
      <c r="AH73" s="107">
        <f>H73*'TTS Design Calcs'!$C$326</f>
        <v>580.56360615549374</v>
      </c>
      <c r="AI73" s="302">
        <f>H73*'TTS Design Calcs'!$C$334</f>
        <v>580.56360615549374</v>
      </c>
      <c r="AJ73" s="304">
        <f>'TTS Design Calcs'!$C$381*H73</f>
        <v>1005569.6802149432</v>
      </c>
      <c r="AK73" s="304">
        <f>'TTS Design Calcs'!$C$390*D73</f>
        <v>290951.81059830287</v>
      </c>
      <c r="AL73" s="305">
        <f t="shared" si="21"/>
        <v>1296521.490813246</v>
      </c>
      <c r="AM73" s="452"/>
      <c r="AN73" s="452"/>
      <c r="AO73" s="452">
        <f t="shared" si="18"/>
        <v>24347.861690487029</v>
      </c>
    </row>
    <row r="74" spans="1:41" s="91" customFormat="1" ht="15" customHeight="1" x14ac:dyDescent="0.25">
      <c r="A74" s="106">
        <v>64</v>
      </c>
      <c r="B74" s="292">
        <v>981.34366122857364</v>
      </c>
      <c r="C74" s="292">
        <f t="shared" si="25"/>
        <v>681.34366122857364</v>
      </c>
      <c r="D74" s="292">
        <f t="shared" si="22"/>
        <v>1057.0317302178116</v>
      </c>
      <c r="E74" s="292">
        <f>3*U74/'TTS Design Calcs'!$I$97/'TTS Design Calcs'!$L$97/'TTS Design Calcs'!$O$97/'TTS Design Calcs'!$R$97</f>
        <v>75.688068989237919</v>
      </c>
      <c r="F74" s="292">
        <f t="shared" si="26"/>
        <v>761.06284575682434</v>
      </c>
      <c r="G74" s="292">
        <f t="shared" si="27"/>
        <v>295.96888446098728</v>
      </c>
      <c r="H74" s="292">
        <f t="shared" si="19"/>
        <v>761.06284575682434</v>
      </c>
      <c r="I74" s="292">
        <f t="shared" si="23"/>
        <v>593.62901969032305</v>
      </c>
      <c r="J74" s="292">
        <f t="shared" si="24"/>
        <v>167.4338260665013</v>
      </c>
      <c r="K74" s="292">
        <v>0</v>
      </c>
      <c r="L74" s="292">
        <f t="shared" si="28"/>
        <v>889.59790415131033</v>
      </c>
      <c r="M74" s="107">
        <v>2507.1617908189996</v>
      </c>
      <c r="N74" s="292">
        <v>479</v>
      </c>
      <c r="O74" s="107">
        <f t="shared" si="20"/>
        <v>2506.6489754492254</v>
      </c>
      <c r="P74" s="411">
        <v>1600</v>
      </c>
      <c r="Q74" s="107">
        <v>2500</v>
      </c>
      <c r="R74" s="107">
        <f t="shared" si="29"/>
        <v>7272.727272727273</v>
      </c>
      <c r="S74" s="292">
        <f t="shared" si="30"/>
        <v>545.66539923954372</v>
      </c>
      <c r="T74" s="107">
        <f>O74*'TTS Design Calcs'!$C$147*D74*3.785*1440/454000</f>
        <v>66533.38967617735</v>
      </c>
      <c r="U74" s="107">
        <v>90140.857138870881</v>
      </c>
      <c r="V74" s="107">
        <f t="shared" si="7"/>
        <v>133066.7793523547</v>
      </c>
      <c r="W74" s="107">
        <f t="shared" si="8"/>
        <v>17988.657208744247</v>
      </c>
      <c r="X74" s="107">
        <f>O74*'TTS Design Calcs'!$C$224*D74*3.785*1440/454000</f>
        <v>16696.712552069272</v>
      </c>
      <c r="Y74" s="107">
        <f t="shared" si="9"/>
        <v>3047.1500407526419</v>
      </c>
      <c r="Z74" s="107">
        <f>'TTS Design Calcs'!$C$269*(D74)/365</f>
        <v>127.01159044045771</v>
      </c>
      <c r="AA74" s="306">
        <f t="shared" si="16"/>
        <v>23.179615255383531</v>
      </c>
      <c r="AB74" s="293">
        <f>(L74-$A$121)*1440*'TTS Design Calcs'!$C$284</f>
        <v>47.069723240854053</v>
      </c>
      <c r="AC74" s="293">
        <f t="shared" si="17"/>
        <v>8.5902244914558654</v>
      </c>
      <c r="AD74" s="107">
        <f>H74*'TTS Design Calcs'!$C$343</f>
        <v>10013.593790325682</v>
      </c>
      <c r="AE74" s="107">
        <f>H74*'TTS Design Calcs'!$C$352</f>
        <v>3337.8645967752282</v>
      </c>
      <c r="AF74" s="292">
        <f>H74*'TTS Design Calcs'!$C$309</f>
        <v>3477.4717721504126</v>
      </c>
      <c r="AG74" s="292">
        <f>H74*'TTS Design Calcs'!$C$317</f>
        <v>3477.4717721504126</v>
      </c>
      <c r="AH74" s="107">
        <f>H74*'TTS Design Calcs'!$C$326</f>
        <v>579.57862869173539</v>
      </c>
      <c r="AI74" s="302">
        <f>H74*'TTS Design Calcs'!$C$334</f>
        <v>579.57862869173539</v>
      </c>
      <c r="AJ74" s="304">
        <f>'TTS Design Calcs'!$C$381*H74</f>
        <v>1003863.6423876511</v>
      </c>
      <c r="AK74" s="304">
        <f>'TTS Design Calcs'!$C$390*D74</f>
        <v>290458.18513945478</v>
      </c>
      <c r="AL74" s="305">
        <f t="shared" si="21"/>
        <v>1294321.8275271058</v>
      </c>
      <c r="AM74" s="452"/>
      <c r="AN74" s="452"/>
      <c r="AO74" s="452">
        <f t="shared" si="18"/>
        <v>24284.687231804732</v>
      </c>
    </row>
    <row r="75" spans="1:41" s="91" customFormat="1" ht="15" customHeight="1" x14ac:dyDescent="0.25">
      <c r="A75" s="106">
        <v>65</v>
      </c>
      <c r="B75" s="292">
        <v>979.74062397610351</v>
      </c>
      <c r="C75" s="292">
        <f t="shared" si="25"/>
        <v>679.74062397610351</v>
      </c>
      <c r="D75" s="292">
        <f t="shared" si="22"/>
        <v>1055.2797960677867</v>
      </c>
      <c r="E75" s="292">
        <f>3*U75/'TTS Design Calcs'!$I$97/'TTS Design Calcs'!$L$97/'TTS Design Calcs'!$O$97/'TTS Design Calcs'!$R$97</f>
        <v>75.539172091683128</v>
      </c>
      <c r="F75" s="292">
        <f t="shared" si="26"/>
        <v>759.80145316880646</v>
      </c>
      <c r="G75" s="292">
        <f t="shared" si="27"/>
        <v>295.47834289898032</v>
      </c>
      <c r="H75" s="292">
        <f t="shared" si="19"/>
        <v>759.80145316880635</v>
      </c>
      <c r="I75" s="292">
        <f t="shared" si="23"/>
        <v>592.64513347166894</v>
      </c>
      <c r="J75" s="292">
        <f t="shared" si="24"/>
        <v>167.15631969713741</v>
      </c>
      <c r="K75" s="292">
        <v>0</v>
      </c>
      <c r="L75" s="292">
        <f t="shared" si="28"/>
        <v>888.12347637064931</v>
      </c>
      <c r="M75" s="107">
        <v>2504.7810676634122</v>
      </c>
      <c r="N75" s="292">
        <v>479</v>
      </c>
      <c r="O75" s="107">
        <f t="shared" si="20"/>
        <v>2504.4388286720523</v>
      </c>
      <c r="P75" s="411">
        <v>1600</v>
      </c>
      <c r="Q75" s="107">
        <v>2500</v>
      </c>
      <c r="R75" s="107">
        <f t="shared" si="29"/>
        <v>7272.727272727273</v>
      </c>
      <c r="S75" s="292">
        <f t="shared" si="30"/>
        <v>545.66539923954372</v>
      </c>
      <c r="T75" s="107">
        <f>O75*'TTS Design Calcs'!$C$147*D75*3.785*1440/454000</f>
        <v>66364.550448941256</v>
      </c>
      <c r="U75" s="107">
        <v>89963.528080934193</v>
      </c>
      <c r="V75" s="107">
        <f t="shared" si="7"/>
        <v>132729.10089788251</v>
      </c>
      <c r="W75" s="107">
        <f t="shared" si="8"/>
        <v>17943.008084343379</v>
      </c>
      <c r="X75" s="107">
        <f>O75*'TTS Design Calcs'!$C$224*D75*3.785*1440/454000</f>
        <v>16654.34194599621</v>
      </c>
      <c r="Y75" s="107">
        <f t="shared" si="9"/>
        <v>3039.4174051443083</v>
      </c>
      <c r="Z75" s="107">
        <f>'TTS Design Calcs'!$C$269*(D75)/365</f>
        <v>126.801080257669</v>
      </c>
      <c r="AA75" s="306">
        <f t="shared" si="16"/>
        <v>23.141197147024592</v>
      </c>
      <c r="AB75" s="293">
        <f>(L75-$A$121)*1440*'TTS Design Calcs'!$C$284</f>
        <v>46.952014363183878</v>
      </c>
      <c r="AC75" s="293">
        <f t="shared" si="17"/>
        <v>8.5687426212810571</v>
      </c>
      <c r="AD75" s="107">
        <f>H75*'TTS Design Calcs'!$C$343</f>
        <v>9996.9971675146189</v>
      </c>
      <c r="AE75" s="107">
        <f>H75*'TTS Design Calcs'!$C$352</f>
        <v>3332.3323891715409</v>
      </c>
      <c r="AF75" s="292">
        <f>H75*'TTS Design Calcs'!$C$309</f>
        <v>3471.708178325161</v>
      </c>
      <c r="AG75" s="292">
        <f>H75*'TTS Design Calcs'!$C$317</f>
        <v>3471.708178325161</v>
      </c>
      <c r="AH75" s="107">
        <f>H75*'TTS Design Calcs'!$C$326</f>
        <v>578.61802972086014</v>
      </c>
      <c r="AI75" s="302">
        <f>H75*'TTS Design Calcs'!$C$334</f>
        <v>578.61802972086014</v>
      </c>
      <c r="AJ75" s="304">
        <f>'TTS Design Calcs'!$C$381*H75</f>
        <v>1002199.8295173364</v>
      </c>
      <c r="AK75" s="304">
        <f>'TTS Design Calcs'!$C$390*D75</f>
        <v>289976.77706138766</v>
      </c>
      <c r="AL75" s="305">
        <f t="shared" ref="AL75:AL105" si="31">SUM(AJ75,AK75)</f>
        <v>1292176.606578724</v>
      </c>
      <c r="AM75" s="452"/>
      <c r="AN75" s="452"/>
      <c r="AO75" s="452">
        <f t="shared" si="18"/>
        <v>24223.060913863559</v>
      </c>
    </row>
    <row r="76" spans="1:41" s="91" customFormat="1" ht="15" customHeight="1" x14ac:dyDescent="0.25">
      <c r="A76" s="106">
        <v>66</v>
      </c>
      <c r="B76" s="292">
        <v>978.17621156363396</v>
      </c>
      <c r="C76" s="292">
        <f t="shared" si="25"/>
        <v>678.17621156363396</v>
      </c>
      <c r="D76" s="292">
        <f t="shared" si="22"/>
        <v>1053.569713399296</v>
      </c>
      <c r="E76" s="292">
        <f>3*U76/'TTS Design Calcs'!$I$97/'TTS Design Calcs'!$L$97/'TTS Design Calcs'!$O$97/'TTS Design Calcs'!$R$97</f>
        <v>75.393501835662036</v>
      </c>
      <c r="F76" s="292">
        <f t="shared" si="26"/>
        <v>758.57019364749306</v>
      </c>
      <c r="G76" s="292">
        <f t="shared" si="27"/>
        <v>294.99951975180289</v>
      </c>
      <c r="H76" s="292">
        <f t="shared" si="19"/>
        <v>758.57019364749317</v>
      </c>
      <c r="I76" s="292">
        <f t="shared" si="23"/>
        <v>591.68475104504466</v>
      </c>
      <c r="J76" s="292">
        <f t="shared" si="24"/>
        <v>166.88544260244851</v>
      </c>
      <c r="K76" s="292">
        <v>0</v>
      </c>
      <c r="L76" s="292">
        <f t="shared" si="28"/>
        <v>886.68427079684761</v>
      </c>
      <c r="M76" s="107">
        <v>2502.4413047982271</v>
      </c>
      <c r="N76" s="292">
        <v>479</v>
      </c>
      <c r="O76" s="107">
        <f t="shared" si="20"/>
        <v>2502.2666049037202</v>
      </c>
      <c r="P76" s="411">
        <v>1600</v>
      </c>
      <c r="Q76" s="107">
        <v>2500</v>
      </c>
      <c r="R76" s="107">
        <f t="shared" si="29"/>
        <v>7272.727272727273</v>
      </c>
      <c r="S76" s="292">
        <f t="shared" si="30"/>
        <v>545.66539923954372</v>
      </c>
      <c r="T76" s="107">
        <f>O76*'TTS Design Calcs'!$C$147*D76*3.785*1440/454000</f>
        <v>66199.53860272227</v>
      </c>
      <c r="U76" s="107">
        <v>89790.041798185368</v>
      </c>
      <c r="V76" s="107">
        <f t="shared" si="7"/>
        <v>132399.07720544454</v>
      </c>
      <c r="W76" s="107">
        <f t="shared" si="8"/>
        <v>17898.393770365648</v>
      </c>
      <c r="X76" s="107">
        <f>O76*'TTS Design Calcs'!$C$224*D76*3.785*1440/454000</f>
        <v>16612.931830302208</v>
      </c>
      <c r="Y76" s="107">
        <f t="shared" si="9"/>
        <v>3031.860059030153</v>
      </c>
      <c r="Z76" s="107">
        <f>'TTS Design Calcs'!$C$269*(D76)/365</f>
        <v>126.59559889575669</v>
      </c>
      <c r="AA76" s="306">
        <f t="shared" si="16"/>
        <v>23.103696798475596</v>
      </c>
      <c r="AB76" s="293">
        <f>(L76-$A$121)*1440*'TTS Design Calcs'!$C$284</f>
        <v>46.83711740108722</v>
      </c>
      <c r="AC76" s="293">
        <f t="shared" si="17"/>
        <v>8.5477739256984169</v>
      </c>
      <c r="AD76" s="107">
        <f>H76*'TTS Design Calcs'!$C$343</f>
        <v>9980.7970169414566</v>
      </c>
      <c r="AE76" s="107">
        <f>H76*'TTS Design Calcs'!$C$352</f>
        <v>3326.9323389804863</v>
      </c>
      <c r="AF76" s="292">
        <f>H76*'TTS Design Calcs'!$C$309</f>
        <v>3466.0822694354688</v>
      </c>
      <c r="AG76" s="292">
        <f>H76*'TTS Design Calcs'!$C$317</f>
        <v>3466.0822694354688</v>
      </c>
      <c r="AH76" s="107">
        <f>H76*'TTS Design Calcs'!$C$326</f>
        <v>577.68037823924476</v>
      </c>
      <c r="AI76" s="302">
        <f>H76*'TTS Design Calcs'!$C$334</f>
        <v>577.68037823924476</v>
      </c>
      <c r="AJ76" s="304">
        <f>'TTS Design Calcs'!$C$381*H76</f>
        <v>1000575.7630231157</v>
      </c>
      <c r="AK76" s="304">
        <f>'TTS Design Calcs'!$C$390*D76</f>
        <v>289506.86921082024</v>
      </c>
      <c r="AL76" s="305">
        <f t="shared" si="31"/>
        <v>1290082.6322339359</v>
      </c>
      <c r="AM76" s="452"/>
      <c r="AN76" s="452"/>
      <c r="AO76" s="452">
        <f>V76*365/2000</f>
        <v>24162.831589993628</v>
      </c>
    </row>
    <row r="77" spans="1:41" s="91" customFormat="1" ht="15" customHeight="1" x14ac:dyDescent="0.25">
      <c r="A77" s="106">
        <v>67</v>
      </c>
      <c r="B77" s="292">
        <v>976.6445495657141</v>
      </c>
      <c r="C77" s="292">
        <f t="shared" si="25"/>
        <v>676.6445495657141</v>
      </c>
      <c r="D77" s="292">
        <f t="shared" si="22"/>
        <v>1051.8952352629051</v>
      </c>
      <c r="E77" s="292">
        <f>3*U77/'TTS Design Calcs'!$I$97/'TTS Design Calcs'!$L$97/'TTS Design Calcs'!$O$97/'TTS Design Calcs'!$R$97</f>
        <v>75.250685697191045</v>
      </c>
      <c r="F77" s="292">
        <f t="shared" si="26"/>
        <v>757.36456938929166</v>
      </c>
      <c r="G77" s="292">
        <f t="shared" si="27"/>
        <v>294.53066587361343</v>
      </c>
      <c r="H77" s="292">
        <f t="shared" si="19"/>
        <v>757.36456938929166</v>
      </c>
      <c r="I77" s="292">
        <f t="shared" si="23"/>
        <v>590.74436412364753</v>
      </c>
      <c r="J77" s="292">
        <f t="shared" si="24"/>
        <v>166.62020526564413</v>
      </c>
      <c r="K77" s="292">
        <v>0</v>
      </c>
      <c r="L77" s="292">
        <f t="shared" si="28"/>
        <v>885.27502999726096</v>
      </c>
      <c r="M77" s="107">
        <v>2500.1409690253631</v>
      </c>
      <c r="N77" s="292">
        <v>479</v>
      </c>
      <c r="O77" s="107">
        <f t="shared" si="20"/>
        <v>2500.13088435584</v>
      </c>
      <c r="P77" s="411">
        <v>1600</v>
      </c>
      <c r="Q77" s="107">
        <v>2500</v>
      </c>
      <c r="R77" s="107">
        <f t="shared" si="29"/>
        <v>7272.727272727273</v>
      </c>
      <c r="S77" s="292">
        <f t="shared" si="30"/>
        <v>545.66539923954372</v>
      </c>
      <c r="T77" s="107">
        <f>O77*'TTS Design Calcs'!$C$147*D77*3.785*1440/454000</f>
        <v>66037.912718368432</v>
      </c>
      <c r="U77" s="107">
        <v>89619.954632441062</v>
      </c>
      <c r="V77" s="107">
        <f t="shared" si="7"/>
        <v>132075.82543673686</v>
      </c>
      <c r="W77" s="107">
        <f t="shared" si="8"/>
        <v>17854.694920151465</v>
      </c>
      <c r="X77" s="107">
        <f>O77*'TTS Design Calcs'!$C$224*D77*3.785*1440/454000</f>
        <v>16572.371429800081</v>
      </c>
      <c r="Y77" s="107">
        <f t="shared" si="9"/>
        <v>3024.4577859385149</v>
      </c>
      <c r="Z77" s="107">
        <f>'TTS Design Calcs'!$C$269*(D77)/365</f>
        <v>126.39439572920941</v>
      </c>
      <c r="AA77" s="306">
        <f t="shared" si="16"/>
        <v>23.066977220580718</v>
      </c>
      <c r="AB77" s="293">
        <f>(L77-$A$121)*1440*'TTS Design Calcs'!$C$284</f>
        <v>46.724612634789338</v>
      </c>
      <c r="AC77" s="293">
        <f t="shared" si="17"/>
        <v>8.5272418058490551</v>
      </c>
      <c r="AD77" s="107">
        <f>H77*'TTS Design Calcs'!$C$343</f>
        <v>9964.9341592908677</v>
      </c>
      <c r="AE77" s="107">
        <f>H77*'TTS Design Calcs'!$C$352</f>
        <v>3321.644719763623</v>
      </c>
      <c r="AF77" s="292">
        <f>H77*'TTS Design Calcs'!$C$309</f>
        <v>3460.5734939787631</v>
      </c>
      <c r="AG77" s="292">
        <f>H77*'TTS Design Calcs'!$C$317</f>
        <v>3460.5734939787631</v>
      </c>
      <c r="AH77" s="107">
        <f>H77*'TTS Design Calcs'!$C$326</f>
        <v>576.76224899646058</v>
      </c>
      <c r="AI77" s="302">
        <f>H77*'TTS Design Calcs'!$C$334</f>
        <v>576.76224899646058</v>
      </c>
      <c r="AJ77" s="304">
        <f>'TTS Design Calcs'!$C$381*H77</f>
        <v>998985.51017351623</v>
      </c>
      <c r="AK77" s="304">
        <f>'TTS Design Calcs'!$C$390*D77</f>
        <v>289046.74500958022</v>
      </c>
      <c r="AL77" s="305">
        <f t="shared" si="31"/>
        <v>1288032.2551830965</v>
      </c>
      <c r="AM77" s="452"/>
      <c r="AN77" s="452"/>
      <c r="AO77" s="452">
        <f t="shared" ref="AO77:AO110" si="32">V77*365/2000</f>
        <v>24103.838142204477</v>
      </c>
    </row>
    <row r="78" spans="1:41" s="91" customFormat="1" ht="15" customHeight="1" x14ac:dyDescent="0.25">
      <c r="A78" s="106">
        <v>68</v>
      </c>
      <c r="B78" s="292">
        <v>975.14400932779336</v>
      </c>
      <c r="C78" s="292">
        <f t="shared" si="25"/>
        <v>675.14400932779336</v>
      </c>
      <c r="D78" s="292">
        <f t="shared" si="22"/>
        <v>1050.2544681283575</v>
      </c>
      <c r="E78" s="292">
        <f>3*U78/'TTS Design Calcs'!$I$97/'TTS Design Calcs'!$L$97/'TTS Design Calcs'!$O$97/'TTS Design Calcs'!$R$97</f>
        <v>75.11045880056426</v>
      </c>
      <c r="F78" s="292">
        <f t="shared" si="26"/>
        <v>756.18321705241738</v>
      </c>
      <c r="G78" s="292">
        <f t="shared" si="27"/>
        <v>294.07125107594015</v>
      </c>
      <c r="H78" s="292">
        <f t="shared" si="19"/>
        <v>756.18321705241738</v>
      </c>
      <c r="I78" s="292">
        <f t="shared" si="23"/>
        <v>589.82290930088561</v>
      </c>
      <c r="J78" s="292">
        <f t="shared" si="24"/>
        <v>166.36030775153176</v>
      </c>
      <c r="K78" s="292">
        <v>0</v>
      </c>
      <c r="L78" s="292">
        <f t="shared" si="28"/>
        <v>883.89416037682577</v>
      </c>
      <c r="M78" s="107">
        <v>2497.8724775215505</v>
      </c>
      <c r="N78" s="292">
        <v>479</v>
      </c>
      <c r="O78" s="107">
        <f t="shared" si="20"/>
        <v>2498.0246303514741</v>
      </c>
      <c r="P78" s="411">
        <v>1600</v>
      </c>
      <c r="Q78" s="107">
        <v>2500</v>
      </c>
      <c r="R78" s="107">
        <f t="shared" si="29"/>
        <v>7272.727272727273</v>
      </c>
      <c r="S78" s="292">
        <f t="shared" si="30"/>
        <v>545.66539923954372</v>
      </c>
      <c r="T78" s="107">
        <f>O78*'TTS Design Calcs'!$C$147*D78*3.785*1440/454000</f>
        <v>65879.358111730078</v>
      </c>
      <c r="U78" s="107">
        <v>89452.951129449619</v>
      </c>
      <c r="V78" s="107">
        <f t="shared" si="7"/>
        <v>131758.71622346016</v>
      </c>
      <c r="W78" s="107">
        <f t="shared" si="8"/>
        <v>17811.826452430723</v>
      </c>
      <c r="X78" s="107">
        <f>O78*'TTS Design Calcs'!$C$224*D78*3.785*1440/454000</f>
        <v>16532.581773753212</v>
      </c>
      <c r="Y78" s="107">
        <f t="shared" si="9"/>
        <v>3017.1961737099609</v>
      </c>
      <c r="Z78" s="107">
        <f>'TTS Design Calcs'!$C$269*(D78)/365</f>
        <v>126.19724323383599</v>
      </c>
      <c r="AA78" s="306">
        <f t="shared" si="16"/>
        <v>23.030996890175068</v>
      </c>
      <c r="AB78" s="293">
        <f>(L78-$A$121)*1440*'TTS Design Calcs'!$C$284</f>
        <v>46.614372841859364</v>
      </c>
      <c r="AC78" s="293">
        <f t="shared" si="17"/>
        <v>8.5071230436393339</v>
      </c>
      <c r="AD78" s="107">
        <f>H78*'TTS Design Calcs'!$C$343</f>
        <v>9949.3906565556263</v>
      </c>
      <c r="AE78" s="107">
        <f>H78*'TTS Design Calcs'!$C$352</f>
        <v>3316.4635521852097</v>
      </c>
      <c r="AF78" s="292">
        <f>H78*'TTS Design Calcs'!$C$309</f>
        <v>3455.1756225318145</v>
      </c>
      <c r="AG78" s="292">
        <f>H78*'TTS Design Calcs'!$C$317</f>
        <v>3455.1756225318145</v>
      </c>
      <c r="AH78" s="107">
        <f>H78*'TTS Design Calcs'!$C$326</f>
        <v>575.86260375530242</v>
      </c>
      <c r="AI78" s="302">
        <f>H78*'TTS Design Calcs'!$C$334</f>
        <v>575.86260375530242</v>
      </c>
      <c r="AJ78" s="304">
        <f>'TTS Design Calcs'!$C$381*H78</f>
        <v>997427.27268176421</v>
      </c>
      <c r="AK78" s="304">
        <f>'TTS Design Calcs'!$C$390*D78</f>
        <v>288595.88414087298</v>
      </c>
      <c r="AL78" s="305">
        <f t="shared" si="31"/>
        <v>1286023.1568226372</v>
      </c>
      <c r="AM78" s="452"/>
      <c r="AN78" s="452"/>
      <c r="AO78" s="452">
        <f t="shared" si="32"/>
        <v>24045.965710781478</v>
      </c>
    </row>
    <row r="79" spans="1:41" s="91" customFormat="1" ht="15" customHeight="1" x14ac:dyDescent="0.25">
      <c r="A79" s="106">
        <v>69</v>
      </c>
      <c r="B79" s="292">
        <v>973.68032388312145</v>
      </c>
      <c r="C79" s="292">
        <f t="shared" si="25"/>
        <v>673.68032388312145</v>
      </c>
      <c r="D79" s="292">
        <f t="shared" si="22"/>
        <v>1048.6537401307128</v>
      </c>
      <c r="E79" s="292">
        <f>3*U79/'TTS Design Calcs'!$I$97/'TTS Design Calcs'!$L$97/'TTS Design Calcs'!$O$97/'TTS Design Calcs'!$R$97</f>
        <v>74.973416247591302</v>
      </c>
      <c r="F79" s="292">
        <f t="shared" si="26"/>
        <v>755.03069289411314</v>
      </c>
      <c r="G79" s="292">
        <f t="shared" si="27"/>
        <v>293.62304723659963</v>
      </c>
      <c r="H79" s="292">
        <f t="shared" si="19"/>
        <v>755.03069289411314</v>
      </c>
      <c r="I79" s="292">
        <f t="shared" si="23"/>
        <v>588.92394045740832</v>
      </c>
      <c r="J79" s="292">
        <f t="shared" si="24"/>
        <v>166.10675243670482</v>
      </c>
      <c r="K79" s="292">
        <v>0</v>
      </c>
      <c r="L79" s="292">
        <f t="shared" si="28"/>
        <v>882.54698769400795</v>
      </c>
      <c r="M79" s="107">
        <v>2495.6488619329793</v>
      </c>
      <c r="N79" s="292">
        <v>479</v>
      </c>
      <c r="O79" s="107">
        <f t="shared" si="20"/>
        <v>2495.9599462050946</v>
      </c>
      <c r="P79" s="411">
        <v>1600</v>
      </c>
      <c r="Q79" s="107">
        <v>2500</v>
      </c>
      <c r="R79" s="107">
        <f t="shared" si="29"/>
        <v>7272.727272727273</v>
      </c>
      <c r="S79" s="292">
        <f t="shared" si="30"/>
        <v>545.66539923954383</v>
      </c>
      <c r="T79" s="107">
        <f>O79*'TTS Design Calcs'!$C$147*D79*3.785*1440/454000</f>
        <v>65724.581116156958</v>
      </c>
      <c r="U79" s="107">
        <v>89289.740026901345</v>
      </c>
      <c r="V79" s="107">
        <f t="shared" si="7"/>
        <v>131449.16223231392</v>
      </c>
      <c r="W79" s="107">
        <f t="shared" si="8"/>
        <v>17769.979338812806</v>
      </c>
      <c r="X79" s="107">
        <f>O79*'TTS Design Calcs'!$C$224*D79*3.785*1440/454000</f>
        <v>16493.740118197482</v>
      </c>
      <c r="Y79" s="107">
        <f t="shared" si="9"/>
        <v>3010.1075715710404</v>
      </c>
      <c r="Z79" s="107">
        <f>'TTS Design Calcs'!$C$269*(D79)/365</f>
        <v>126.00490179030948</v>
      </c>
      <c r="AA79" s="306">
        <f t="shared" si="16"/>
        <v>22.99589457673148</v>
      </c>
      <c r="AB79" s="293">
        <f>(L79-$A$121)*1440*'TTS Design Calcs'!$C$284</f>
        <v>46.506823196768352</v>
      </c>
      <c r="AC79" s="293">
        <f t="shared" si="17"/>
        <v>8.4874952334102236</v>
      </c>
      <c r="AD79" s="107">
        <f>H79*'TTS Design Calcs'!$C$343</f>
        <v>9934.2264571479955</v>
      </c>
      <c r="AE79" s="107">
        <f>H79*'TTS Design Calcs'!$C$352</f>
        <v>3311.4088190493326</v>
      </c>
      <c r="AF79" s="292">
        <f>H79*'TTS Design Calcs'!$C$309</f>
        <v>3449.909473685409</v>
      </c>
      <c r="AG79" s="292">
        <f>H79*'TTS Design Calcs'!$C$317</f>
        <v>3449.909473685409</v>
      </c>
      <c r="AH79" s="107">
        <f>H79*'TTS Design Calcs'!$C$326</f>
        <v>574.98491228090154</v>
      </c>
      <c r="AI79" s="302">
        <f>H79*'TTS Design Calcs'!$C$334</f>
        <v>574.98491228090154</v>
      </c>
      <c r="AJ79" s="304">
        <f>'TTS Design Calcs'!$C$381*H79</f>
        <v>995907.06038136664</v>
      </c>
      <c r="AK79" s="304">
        <f>'TTS Design Calcs'!$C$390*D79</f>
        <v>288156.02549159474</v>
      </c>
      <c r="AL79" s="305">
        <f t="shared" si="31"/>
        <v>1284063.0858729614</v>
      </c>
      <c r="AM79" s="452"/>
      <c r="AN79" s="452"/>
      <c r="AO79" s="452">
        <f t="shared" si="32"/>
        <v>23989.472107397287</v>
      </c>
    </row>
    <row r="80" spans="1:41" s="91" customFormat="1" ht="15" customHeight="1" x14ac:dyDescent="0.25">
      <c r="A80" s="106">
        <v>70</v>
      </c>
      <c r="B80" s="292">
        <v>972.24910648052321</v>
      </c>
      <c r="C80" s="292">
        <f t="shared" si="25"/>
        <v>672.24910648052321</v>
      </c>
      <c r="D80" s="292">
        <f t="shared" ref="D80:D110" si="33">K80+B80+E80</f>
        <v>1047.0882379759898</v>
      </c>
      <c r="E80" s="292">
        <f>3*U80/'TTS Design Calcs'!$I$97/'TTS Design Calcs'!$L$97/'TTS Design Calcs'!$O$97/'TTS Design Calcs'!$R$97</f>
        <v>74.839131495466617</v>
      </c>
      <c r="F80" s="292">
        <f t="shared" si="26"/>
        <v>753.90353134271265</v>
      </c>
      <c r="G80" s="292">
        <f t="shared" si="27"/>
        <v>293.18470663327719</v>
      </c>
      <c r="H80" s="292">
        <f t="shared" si="19"/>
        <v>753.90353134271265</v>
      </c>
      <c r="I80" s="292">
        <f t="shared" ref="I80:I110" si="34">H80*$A$119</f>
        <v>588.04475444731588</v>
      </c>
      <c r="J80" s="292">
        <f t="shared" ref="J80:J110" si="35">H80-I80</f>
        <v>165.85877689539677</v>
      </c>
      <c r="K80" s="292">
        <v>0</v>
      </c>
      <c r="L80" s="292">
        <f t="shared" si="28"/>
        <v>881.22946108059307</v>
      </c>
      <c r="M80" s="107">
        <v>2493.462191615421</v>
      </c>
      <c r="N80" s="292">
        <v>479</v>
      </c>
      <c r="O80" s="107">
        <f t="shared" si="20"/>
        <v>2493.929472102051</v>
      </c>
      <c r="P80" s="411">
        <v>1600</v>
      </c>
      <c r="Q80" s="107">
        <v>2500</v>
      </c>
      <c r="R80" s="107">
        <f t="shared" si="29"/>
        <v>7272.727272727273</v>
      </c>
      <c r="S80" s="292">
        <f t="shared" si="30"/>
        <v>545.66539923954383</v>
      </c>
      <c r="T80" s="107">
        <f>O80*'TTS Design Calcs'!$C$147*D80*3.785*1440/454000</f>
        <v>65573.075549557063</v>
      </c>
      <c r="U80" s="107">
        <v>89129.813332788966</v>
      </c>
      <c r="V80" s="107">
        <f t="shared" si="7"/>
        <v>131146.15109911413</v>
      </c>
      <c r="W80" s="107">
        <f t="shared" si="8"/>
        <v>17729.01672265802</v>
      </c>
      <c r="X80" s="107">
        <f>O80*'TTS Design Calcs'!$C$224*D80*3.785*1440/454000</f>
        <v>16455.719435531701</v>
      </c>
      <c r="Y80" s="107">
        <f t="shared" si="9"/>
        <v>3003.1687969845352</v>
      </c>
      <c r="Z80" s="107">
        <f>'TTS Design Calcs'!$C$269*(D80)/365</f>
        <v>125.81679303933721</v>
      </c>
      <c r="AA80" s="306">
        <f t="shared" si="16"/>
        <v>22.96156472967904</v>
      </c>
      <c r="AB80" s="293">
        <f>(L80-$A$121)*1440*'TTS Design Calcs'!$C$284</f>
        <v>46.401640304123639</v>
      </c>
      <c r="AC80" s="293">
        <f t="shared" si="17"/>
        <v>8.4682993555025643</v>
      </c>
      <c r="AD80" s="107">
        <f>H80*'TTS Design Calcs'!$C$343</f>
        <v>9919.3959632213428</v>
      </c>
      <c r="AE80" s="107">
        <f>H80*'TTS Design Calcs'!$C$352</f>
        <v>3306.465321073782</v>
      </c>
      <c r="AF80" s="292">
        <f>H80*'TTS Design Calcs'!$C$309</f>
        <v>3444.7592124428561</v>
      </c>
      <c r="AG80" s="292">
        <f>H80*'TTS Design Calcs'!$C$317</f>
        <v>3444.7592124428561</v>
      </c>
      <c r="AH80" s="107">
        <f>H80*'TTS Design Calcs'!$C$326</f>
        <v>574.12653540714268</v>
      </c>
      <c r="AI80" s="302">
        <f>H80*'TTS Design Calcs'!$C$334</f>
        <v>574.12653540714268</v>
      </c>
      <c r="AJ80" s="304">
        <f>'TTS Design Calcs'!$C$381*H80</f>
        <v>994420.3020842605</v>
      </c>
      <c r="AK80" s="304">
        <f>'TTS Design Calcs'!$C$390*D80</f>
        <v>287725.84643292165</v>
      </c>
      <c r="AL80" s="305">
        <f t="shared" si="31"/>
        <v>1282146.1485171821</v>
      </c>
      <c r="AM80" s="452"/>
      <c r="AN80" s="452"/>
      <c r="AO80" s="452">
        <f t="shared" si="32"/>
        <v>23934.172575588327</v>
      </c>
    </row>
    <row r="81" spans="1:41" s="91" customFormat="1" ht="15" customHeight="1" x14ac:dyDescent="0.25">
      <c r="A81" s="106">
        <v>71</v>
      </c>
      <c r="B81" s="292">
        <v>970.85093748950374</v>
      </c>
      <c r="C81" s="292">
        <f t="shared" si="25"/>
        <v>670.85093748950374</v>
      </c>
      <c r="D81" s="292">
        <f t="shared" si="33"/>
        <v>1045.5585626804589</v>
      </c>
      <c r="E81" s="292">
        <f>3*U81/'TTS Design Calcs'!$I$97/'TTS Design Calcs'!$L$97/'TTS Design Calcs'!$O$97/'TTS Design Calcs'!$R$97</f>
        <v>74.707625190955085</v>
      </c>
      <c r="F81" s="292">
        <f t="shared" si="26"/>
        <v>752.80216512993036</v>
      </c>
      <c r="G81" s="292">
        <f t="shared" si="27"/>
        <v>292.7563975505285</v>
      </c>
      <c r="H81" s="292">
        <f t="shared" si="19"/>
        <v>752.80216512993036</v>
      </c>
      <c r="I81" s="292">
        <f t="shared" si="34"/>
        <v>587.18568880134569</v>
      </c>
      <c r="J81" s="292">
        <f t="shared" si="35"/>
        <v>165.61647632858467</v>
      </c>
      <c r="K81" s="292">
        <v>0</v>
      </c>
      <c r="L81" s="292">
        <f t="shared" si="28"/>
        <v>879.9420863518742</v>
      </c>
      <c r="M81" s="107">
        <v>2491.312307009518</v>
      </c>
      <c r="N81" s="292">
        <v>479</v>
      </c>
      <c r="O81" s="107">
        <f t="shared" si="20"/>
        <v>2491.9330631630933</v>
      </c>
      <c r="P81" s="411">
        <v>1600</v>
      </c>
      <c r="Q81" s="107">
        <v>2500</v>
      </c>
      <c r="R81" s="107">
        <f t="shared" si="29"/>
        <v>7272.727272727273</v>
      </c>
      <c r="S81" s="292">
        <f t="shared" si="30"/>
        <v>545.66539923954372</v>
      </c>
      <c r="T81" s="107">
        <f>O81*'TTS Design Calcs'!$C$147*D81*3.785*1440/454000</f>
        <v>65424.865793613753</v>
      </c>
      <c r="U81" s="107">
        <v>88973.195636418342</v>
      </c>
      <c r="V81" s="107">
        <f t="shared" ref="V81:V110" si="36">T81/0.5</f>
        <v>130849.73158722751</v>
      </c>
      <c r="W81" s="107">
        <f t="shared" ref="W81:W110" si="37">V81/100/27*365</f>
        <v>17688.945196051129</v>
      </c>
      <c r="X81" s="107">
        <f>O81*'TTS Design Calcs'!$C$224*D81*3.785*1440/454000</f>
        <v>16418.525844397354</v>
      </c>
      <c r="Y81" s="107">
        <f t="shared" ref="Y81:Y110" si="38">X81*365/2000</f>
        <v>2996.3809666025172</v>
      </c>
      <c r="Z81" s="107">
        <f>'TTS Design Calcs'!$C$269*(D81)/365</f>
        <v>125.63298919827102</v>
      </c>
      <c r="AA81" s="306">
        <f t="shared" ref="AA81:AA110" si="39">Z81*365/2000</f>
        <v>22.92802052868446</v>
      </c>
      <c r="AB81" s="293">
        <f>(L81-$A$121)*1440*'TTS Design Calcs'!$C$284</f>
        <v>46.298864544980987</v>
      </c>
      <c r="AC81" s="293">
        <f t="shared" ref="AC81:AC110" si="40">AB81*365/2000</f>
        <v>8.4495427794590299</v>
      </c>
      <c r="AD81" s="107">
        <f>H81*'TTS Design Calcs'!$C$343</f>
        <v>9904.9048683916844</v>
      </c>
      <c r="AE81" s="107">
        <f>H81*'TTS Design Calcs'!$C$352</f>
        <v>3301.6349561305624</v>
      </c>
      <c r="AF81" s="292">
        <f>H81*'TTS Design Calcs'!$C$309</f>
        <v>3439.7268160552198</v>
      </c>
      <c r="AG81" s="292">
        <f>H81*'TTS Design Calcs'!$C$317</f>
        <v>3439.7268160552198</v>
      </c>
      <c r="AH81" s="107">
        <f>H81*'TTS Design Calcs'!$C$326</f>
        <v>573.28780267587001</v>
      </c>
      <c r="AI81" s="302">
        <f>H81*'TTS Design Calcs'!$C$334</f>
        <v>573.28780267587001</v>
      </c>
      <c r="AJ81" s="304">
        <f>'TTS Design Calcs'!$C$381*H81</f>
        <v>992967.56857594312</v>
      </c>
      <c r="AK81" s="304">
        <f>'TTS Design Calcs'!$C$390*D81</f>
        <v>287305.51211608801</v>
      </c>
      <c r="AL81" s="305">
        <f t="shared" si="31"/>
        <v>1280273.0806920312</v>
      </c>
      <c r="AM81" s="452"/>
      <c r="AN81" s="452"/>
      <c r="AO81" s="452">
        <f t="shared" si="32"/>
        <v>23880.076014669019</v>
      </c>
    </row>
    <row r="82" spans="1:41" s="91" customFormat="1" ht="15" customHeight="1" x14ac:dyDescent="0.25">
      <c r="A82" s="106">
        <v>72</v>
      </c>
      <c r="B82" s="292">
        <v>969.48101467262518</v>
      </c>
      <c r="C82" s="292">
        <f t="shared" si="25"/>
        <v>669.48101467262518</v>
      </c>
      <c r="D82" s="292">
        <f t="shared" si="33"/>
        <v>1044.059506592946</v>
      </c>
      <c r="E82" s="292">
        <f>3*U82/'TTS Design Calcs'!$I$97/'TTS Design Calcs'!$L$97/'TTS Design Calcs'!$O$97/'TTS Design Calcs'!$R$97</f>
        <v>74.578491920320843</v>
      </c>
      <c r="F82" s="292">
        <f t="shared" si="26"/>
        <v>751.72284474692117</v>
      </c>
      <c r="G82" s="292">
        <f t="shared" si="27"/>
        <v>292.33666184602492</v>
      </c>
      <c r="H82" s="292">
        <f t="shared" si="19"/>
        <v>751.72284474692106</v>
      </c>
      <c r="I82" s="292">
        <f t="shared" si="34"/>
        <v>586.3438189025984</v>
      </c>
      <c r="J82" s="292">
        <f t="shared" si="35"/>
        <v>165.37902584432265</v>
      </c>
      <c r="K82" s="292">
        <v>0</v>
      </c>
      <c r="L82" s="292">
        <f t="shared" si="28"/>
        <v>878.68048074862327</v>
      </c>
      <c r="M82" s="107">
        <v>2489.1932083435217</v>
      </c>
      <c r="N82" s="292">
        <v>479</v>
      </c>
      <c r="O82" s="107">
        <f t="shared" si="20"/>
        <v>2489.9651511486472</v>
      </c>
      <c r="P82" s="411">
        <v>1600</v>
      </c>
      <c r="Q82" s="107">
        <v>2500</v>
      </c>
      <c r="R82" s="107">
        <f t="shared" si="29"/>
        <v>7272.727272727273</v>
      </c>
      <c r="S82" s="292">
        <f t="shared" si="30"/>
        <v>545.66539923954383</v>
      </c>
      <c r="T82" s="107">
        <f>O82*'TTS Design Calcs'!$C$147*D82*3.785*1440/454000</f>
        <v>65279.470944723522</v>
      </c>
      <c r="U82" s="107">
        <v>88819.404109489959</v>
      </c>
      <c r="V82" s="107">
        <f t="shared" si="36"/>
        <v>130558.94188944704</v>
      </c>
      <c r="W82" s="107">
        <f t="shared" si="37"/>
        <v>17649.634736906726</v>
      </c>
      <c r="X82" s="107">
        <f>O82*'TTS Design Calcs'!$C$224*D82*3.785*1440/454000</f>
        <v>16382.038660890139</v>
      </c>
      <c r="Y82" s="107">
        <f t="shared" si="38"/>
        <v>2989.7220556124503</v>
      </c>
      <c r="Z82" s="107">
        <f>'TTS Design Calcs'!$C$269*(D82)/365</f>
        <v>125.45286452235877</v>
      </c>
      <c r="AA82" s="306">
        <f t="shared" si="39"/>
        <v>22.895147775330475</v>
      </c>
      <c r="AB82" s="293">
        <f>(L82-$A$121)*1440*'TTS Design Calcs'!$C$284</f>
        <v>46.198146027893294</v>
      </c>
      <c r="AC82" s="293">
        <f t="shared" si="40"/>
        <v>8.4311616500905249</v>
      </c>
      <c r="AD82" s="107">
        <f>H82*'TTS Design Calcs'!$C$343</f>
        <v>9890.7038389427616</v>
      </c>
      <c r="AE82" s="107">
        <f>H82*'TTS Design Calcs'!$C$352</f>
        <v>3296.9012796475881</v>
      </c>
      <c r="AF82" s="292">
        <f>H82*'TTS Design Calcs'!$C$309</f>
        <v>3434.795152151316</v>
      </c>
      <c r="AG82" s="292">
        <f>H82*'TTS Design Calcs'!$C$317</f>
        <v>3434.795152151316</v>
      </c>
      <c r="AH82" s="107">
        <f>H82*'TTS Design Calcs'!$C$326</f>
        <v>572.46585869188596</v>
      </c>
      <c r="AI82" s="302">
        <f>H82*'TTS Design Calcs'!$C$334</f>
        <v>572.46585869188596</v>
      </c>
      <c r="AJ82" s="304">
        <f>'TTS Design Calcs'!$C$381*H82</f>
        <v>991543.91414709832</v>
      </c>
      <c r="AK82" s="304">
        <f>'TTS Design Calcs'!$C$390*D82</f>
        <v>286893.59154818649</v>
      </c>
      <c r="AL82" s="305">
        <f t="shared" si="31"/>
        <v>1278437.5056952848</v>
      </c>
      <c r="AM82" s="452"/>
      <c r="AN82" s="452"/>
      <c r="AO82" s="452">
        <f t="shared" si="32"/>
        <v>23827.006894824084</v>
      </c>
    </row>
    <row r="83" spans="1:41" s="91" customFormat="1" ht="15" customHeight="1" x14ac:dyDescent="0.25">
      <c r="A83" s="106">
        <v>73</v>
      </c>
      <c r="B83" s="292">
        <v>968.14755964500478</v>
      </c>
      <c r="C83" s="292">
        <f t="shared" si="25"/>
        <v>668.14755964500478</v>
      </c>
      <c r="D83" s="292">
        <f t="shared" si="33"/>
        <v>1042.59988038349</v>
      </c>
      <c r="E83" s="292">
        <f>3*U83/'TTS Design Calcs'!$I$97/'TTS Design Calcs'!$L$97/'TTS Design Calcs'!$O$97/'TTS Design Calcs'!$R$97</f>
        <v>74.452320738485284</v>
      </c>
      <c r="F83" s="292">
        <f t="shared" si="26"/>
        <v>750.67191387611274</v>
      </c>
      <c r="G83" s="292">
        <f t="shared" si="27"/>
        <v>291.92796650737722</v>
      </c>
      <c r="H83" s="292">
        <f t="shared" si="19"/>
        <v>750.67191387611274</v>
      </c>
      <c r="I83" s="292">
        <f t="shared" si="34"/>
        <v>585.52409282336794</v>
      </c>
      <c r="J83" s="292">
        <f t="shared" si="35"/>
        <v>165.1478210527448</v>
      </c>
      <c r="K83" s="292">
        <v>0</v>
      </c>
      <c r="L83" s="292">
        <f t="shared" si="28"/>
        <v>877.45205933074521</v>
      </c>
      <c r="M83" s="107">
        <v>2487.1112952680728</v>
      </c>
      <c r="N83" s="292">
        <v>479</v>
      </c>
      <c r="O83" s="107">
        <f t="shared" si="20"/>
        <v>2488.0316809276724</v>
      </c>
      <c r="P83" s="411">
        <v>1600</v>
      </c>
      <c r="Q83" s="107">
        <v>2500</v>
      </c>
      <c r="R83" s="107">
        <f t="shared" si="29"/>
        <v>7272.727272727273</v>
      </c>
      <c r="S83" s="292">
        <f t="shared" si="30"/>
        <v>545.66539923954372</v>
      </c>
      <c r="T83" s="107">
        <f>O83*'TTS Design Calcs'!$C$147*D83*3.785*1440/454000</f>
        <v>65137.589339602579</v>
      </c>
      <c r="U83" s="107">
        <v>88669.140288140523</v>
      </c>
      <c r="V83" s="107">
        <f t="shared" si="36"/>
        <v>130275.17867920516</v>
      </c>
      <c r="W83" s="107">
        <f t="shared" si="37"/>
        <v>17611.274154781437</v>
      </c>
      <c r="X83" s="107">
        <f>O83*'TTS Design Calcs'!$C$224*D83*3.785*1440/454000</f>
        <v>16346.433134271696</v>
      </c>
      <c r="Y83" s="107">
        <f t="shared" si="38"/>
        <v>2983.2240470045845</v>
      </c>
      <c r="Z83" s="107">
        <f>'TTS Design Calcs'!$C$269*(D83)/365</f>
        <v>125.27747769052414</v>
      </c>
      <c r="AA83" s="306">
        <f t="shared" si="39"/>
        <v>22.863139678520657</v>
      </c>
      <c r="AB83" s="293">
        <f>(L83-$A$121)*1440*'TTS Design Calcs'!$C$284</f>
        <v>46.100076723786984</v>
      </c>
      <c r="AC83" s="293">
        <f t="shared" si="40"/>
        <v>8.4132640020911236</v>
      </c>
      <c r="AD83" s="107">
        <f>H83*'TTS Design Calcs'!$C$343</f>
        <v>9876.8763411209202</v>
      </c>
      <c r="AE83" s="107">
        <f>H83*'TTS Design Calcs'!$C$352</f>
        <v>3292.2921137069739</v>
      </c>
      <c r="AF83" s="292">
        <f>H83*'TTS Design Calcs'!$C$309</f>
        <v>3429.9932064800842</v>
      </c>
      <c r="AG83" s="292">
        <f>H83*'TTS Design Calcs'!$C$317</f>
        <v>3429.9932064800842</v>
      </c>
      <c r="AH83" s="107">
        <f>H83*'TTS Design Calcs'!$C$326</f>
        <v>571.66553441334736</v>
      </c>
      <c r="AI83" s="302">
        <f>H83*'TTS Design Calcs'!$C$334</f>
        <v>571.66553441334736</v>
      </c>
      <c r="AJ83" s="304">
        <f>'TTS Design Calcs'!$C$381*H83</f>
        <v>990157.70629613148</v>
      </c>
      <c r="AK83" s="304">
        <f>'TTS Design Calcs'!$C$390*D83</f>
        <v>286492.50578353001</v>
      </c>
      <c r="AL83" s="305">
        <f t="shared" si="31"/>
        <v>1276650.2120796614</v>
      </c>
      <c r="AM83" s="452"/>
      <c r="AN83" s="452"/>
      <c r="AO83" s="452">
        <f t="shared" si="32"/>
        <v>23775.220108954942</v>
      </c>
    </row>
    <row r="84" spans="1:41" s="91" customFormat="1" ht="15" customHeight="1" x14ac:dyDescent="0.25">
      <c r="A84" s="106">
        <v>74</v>
      </c>
      <c r="B84" s="292">
        <v>967.03607032727757</v>
      </c>
      <c r="C84" s="292">
        <f t="shared" si="25"/>
        <v>667.03607032727757</v>
      </c>
      <c r="D84" s="292">
        <f t="shared" si="33"/>
        <v>1041.3709160443766</v>
      </c>
      <c r="E84" s="292">
        <f>3*U84/'TTS Design Calcs'!$I$97/'TTS Design Calcs'!$L$97/'TTS Design Calcs'!$O$97/'TTS Design Calcs'!$R$97</f>
        <v>74.334845717099086</v>
      </c>
      <c r="F84" s="292">
        <f t="shared" si="26"/>
        <v>749.78705955195107</v>
      </c>
      <c r="G84" s="292">
        <f t="shared" si="27"/>
        <v>291.58385649242547</v>
      </c>
      <c r="H84" s="292">
        <f t="shared" si="19"/>
        <v>749.78705955195119</v>
      </c>
      <c r="I84" s="292">
        <f t="shared" si="34"/>
        <v>584.83390645052191</v>
      </c>
      <c r="J84" s="292">
        <f t="shared" si="35"/>
        <v>164.95315310142928</v>
      </c>
      <c r="K84" s="292">
        <v>0</v>
      </c>
      <c r="L84" s="292">
        <f t="shared" si="28"/>
        <v>876.41776294294732</v>
      </c>
      <c r="M84" s="107">
        <v>2484.8539956418754</v>
      </c>
      <c r="N84" s="292">
        <v>479</v>
      </c>
      <c r="O84" s="107">
        <f t="shared" si="20"/>
        <v>2485.9351434633149</v>
      </c>
      <c r="P84" s="411">
        <v>1600</v>
      </c>
      <c r="Q84" s="107">
        <v>2500</v>
      </c>
      <c r="R84" s="107">
        <f t="shared" si="29"/>
        <v>7272.727272727273</v>
      </c>
      <c r="S84" s="292">
        <f t="shared" si="30"/>
        <v>545.66539923954383</v>
      </c>
      <c r="T84" s="107">
        <f>O84*'TTS Design Calcs'!$C$147*D84*3.785*1440/454000</f>
        <v>65005.984996396975</v>
      </c>
      <c r="U84" s="107">
        <v>88529.233176470603</v>
      </c>
      <c r="V84" s="107">
        <f t="shared" si="36"/>
        <v>130011.96999279395</v>
      </c>
      <c r="W84" s="107">
        <f t="shared" si="37"/>
        <v>17575.692239766591</v>
      </c>
      <c r="X84" s="107">
        <f>O84*'TTS Design Calcs'!$C$224*D84*3.785*1440/454000</f>
        <v>16313.406711000574</v>
      </c>
      <c r="Y84" s="107">
        <f t="shared" si="38"/>
        <v>2977.1967247576049</v>
      </c>
      <c r="Z84" s="107">
        <f>'TTS Design Calcs'!$C$269*(D84)/365</f>
        <v>125.1298068961259</v>
      </c>
      <c r="AA84" s="306">
        <f t="shared" si="39"/>
        <v>22.836189758542975</v>
      </c>
      <c r="AB84" s="293">
        <f>(L84-$A$121)*1440*'TTS Design Calcs'!$C$284</f>
        <v>46.017505119682085</v>
      </c>
      <c r="AC84" s="293">
        <f t="shared" si="40"/>
        <v>8.3981946843419806</v>
      </c>
      <c r="AD84" s="107">
        <f>H84*'TTS Design Calcs'!$C$343</f>
        <v>9865.233975690564</v>
      </c>
      <c r="AE84" s="107">
        <f>H84*'TTS Design Calcs'!$C$352</f>
        <v>3288.411325230189</v>
      </c>
      <c r="AF84" s="292">
        <f>H84*'TTS Design Calcs'!$C$309</f>
        <v>3425.9501028758382</v>
      </c>
      <c r="AG84" s="292">
        <f>H84*'TTS Design Calcs'!$C$317</f>
        <v>3425.9501028758382</v>
      </c>
      <c r="AH84" s="107">
        <f>H84*'TTS Design Calcs'!$C$326</f>
        <v>570.99168381263974</v>
      </c>
      <c r="AI84" s="302">
        <f>H84*'TTS Design Calcs'!$C$334</f>
        <v>570.99168381263974</v>
      </c>
      <c r="AJ84" s="304">
        <f>'TTS Design Calcs'!$C$381*H84</f>
        <v>988990.55815614841</v>
      </c>
      <c r="AK84" s="304">
        <f>'TTS Design Calcs'!$C$390*D84</f>
        <v>286154.80281649949</v>
      </c>
      <c r="AL84" s="305">
        <f t="shared" si="31"/>
        <v>1275145.360972648</v>
      </c>
      <c r="AM84" s="452"/>
      <c r="AN84" s="452"/>
      <c r="AO84" s="452">
        <f t="shared" si="32"/>
        <v>23727.184523684897</v>
      </c>
    </row>
    <row r="85" spans="1:41" s="91" customFormat="1" ht="15" customHeight="1" x14ac:dyDescent="0.25">
      <c r="A85" s="106">
        <v>75</v>
      </c>
      <c r="B85" s="292">
        <v>965.95395675324369</v>
      </c>
      <c r="C85" s="292">
        <f t="shared" si="25"/>
        <v>665.95395675324369</v>
      </c>
      <c r="D85" s="292">
        <f t="shared" si="33"/>
        <v>1040.1737104416038</v>
      </c>
      <c r="E85" s="292">
        <f>3*U85/'TTS Design Calcs'!$I$97/'TTS Design Calcs'!$L$97/'TTS Design Calcs'!$O$97/'TTS Design Calcs'!$R$97</f>
        <v>74.219753688360115</v>
      </c>
      <c r="F85" s="292">
        <f t="shared" si="26"/>
        <v>748.92507151795473</v>
      </c>
      <c r="G85" s="292">
        <f t="shared" si="27"/>
        <v>291.24863892364908</v>
      </c>
      <c r="H85" s="292">
        <f t="shared" si="19"/>
        <v>748.92507151795473</v>
      </c>
      <c r="I85" s="292">
        <f t="shared" si="34"/>
        <v>584.16155578400469</v>
      </c>
      <c r="J85" s="292">
        <f t="shared" si="35"/>
        <v>164.76351573395004</v>
      </c>
      <c r="K85" s="292">
        <v>0</v>
      </c>
      <c r="L85" s="292">
        <f t="shared" si="28"/>
        <v>875.41019470765377</v>
      </c>
      <c r="M85" s="107">
        <v>2482.6263618042403</v>
      </c>
      <c r="N85" s="292">
        <v>479</v>
      </c>
      <c r="O85" s="107">
        <f t="shared" si="20"/>
        <v>2483.866027001136</v>
      </c>
      <c r="P85" s="411">
        <v>1600</v>
      </c>
      <c r="Q85" s="107">
        <v>2500</v>
      </c>
      <c r="R85" s="107">
        <f t="shared" si="29"/>
        <v>7272.727272727273</v>
      </c>
      <c r="S85" s="292">
        <f t="shared" si="30"/>
        <v>545.66539923954372</v>
      </c>
      <c r="T85" s="107">
        <f>O85*'TTS Design Calcs'!$C$147*D85*3.785*1440/454000</f>
        <v>64877.207091871453</v>
      </c>
      <c r="U85" s="107">
        <v>88392.164094659849</v>
      </c>
      <c r="V85" s="107">
        <f t="shared" si="36"/>
        <v>129754.41418374291</v>
      </c>
      <c r="W85" s="107">
        <f t="shared" si="37"/>
        <v>17540.874510024507</v>
      </c>
      <c r="X85" s="107">
        <f>O85*'TTS Design Calcs'!$C$224*D85*3.785*1440/454000</f>
        <v>16281.089589245834</v>
      </c>
      <c r="Y85" s="107">
        <f t="shared" si="38"/>
        <v>2971.2988500373649</v>
      </c>
      <c r="Z85" s="107">
        <f>'TTS Design Calcs'!$C$269*(D85)/365</f>
        <v>124.98595219115782</v>
      </c>
      <c r="AA85" s="306">
        <f t="shared" si="39"/>
        <v>22.809936274886301</v>
      </c>
      <c r="AB85" s="293">
        <f>(L85-$A$121)*1440*'TTS Design Calcs'!$C$284</f>
        <v>45.937067320212954</v>
      </c>
      <c r="AC85" s="293">
        <f t="shared" si="40"/>
        <v>8.3835147859388641</v>
      </c>
      <c r="AD85" s="107">
        <f>H85*'TTS Design Calcs'!$C$343</f>
        <v>9853.8924707508795</v>
      </c>
      <c r="AE85" s="107">
        <f>H85*'TTS Design Calcs'!$C$352</f>
        <v>3284.6308235836273</v>
      </c>
      <c r="AF85" s="292">
        <f>H85*'TTS Design Calcs'!$C$309</f>
        <v>3422.0114806281931</v>
      </c>
      <c r="AG85" s="292">
        <f>H85*'TTS Design Calcs'!$C$317</f>
        <v>3422.0114806281931</v>
      </c>
      <c r="AH85" s="107">
        <f>H85*'TTS Design Calcs'!$C$326</f>
        <v>570.33524677136552</v>
      </c>
      <c r="AI85" s="302">
        <f>H85*'TTS Design Calcs'!$C$334</f>
        <v>570.33524677136552</v>
      </c>
      <c r="AJ85" s="304">
        <f>'TTS Design Calcs'!$C$381*H85</f>
        <v>987853.57130634133</v>
      </c>
      <c r="AK85" s="304">
        <f>'TTS Design Calcs'!$C$390*D85</f>
        <v>285825.82672554662</v>
      </c>
      <c r="AL85" s="305">
        <f t="shared" si="31"/>
        <v>1273679.3980318881</v>
      </c>
      <c r="AM85" s="452"/>
      <c r="AN85" s="452"/>
      <c r="AO85" s="452">
        <f t="shared" si="32"/>
        <v>23680.18058853308</v>
      </c>
    </row>
    <row r="86" spans="1:41" s="91" customFormat="1" ht="15" customHeight="1" x14ac:dyDescent="0.25">
      <c r="A86" s="106">
        <v>76</v>
      </c>
      <c r="B86" s="292">
        <v>964.88917430649224</v>
      </c>
      <c r="C86" s="292">
        <f t="shared" si="25"/>
        <v>664.88917430649224</v>
      </c>
      <c r="D86" s="292">
        <f t="shared" si="33"/>
        <v>1038.9953517372421</v>
      </c>
      <c r="E86" s="292">
        <f>3*U86/'TTS Design Calcs'!$I$97/'TTS Design Calcs'!$L$97/'TTS Design Calcs'!$O$97/'TTS Design Calcs'!$R$97</f>
        <v>74.10617743074998</v>
      </c>
      <c r="F86" s="292">
        <f t="shared" si="26"/>
        <v>748.07665325081427</v>
      </c>
      <c r="G86" s="292">
        <f t="shared" si="27"/>
        <v>290.91869848642784</v>
      </c>
      <c r="H86" s="292">
        <f t="shared" si="19"/>
        <v>748.07665325081427</v>
      </c>
      <c r="I86" s="292">
        <f t="shared" si="34"/>
        <v>583.49978953563516</v>
      </c>
      <c r="J86" s="292">
        <f t="shared" si="35"/>
        <v>164.57686371517912</v>
      </c>
      <c r="K86" s="292">
        <v>0</v>
      </c>
      <c r="L86" s="292">
        <f t="shared" si="28"/>
        <v>874.418488022063</v>
      </c>
      <c r="M86" s="107">
        <v>2480.4194730120253</v>
      </c>
      <c r="N86" s="292">
        <v>479</v>
      </c>
      <c r="O86" s="107">
        <f t="shared" si="20"/>
        <v>2481.8160509704662</v>
      </c>
      <c r="P86" s="411">
        <v>1600</v>
      </c>
      <c r="Q86" s="107">
        <v>2500</v>
      </c>
      <c r="R86" s="107">
        <f t="shared" si="29"/>
        <v>7272.727272727273</v>
      </c>
      <c r="S86" s="292">
        <f t="shared" si="30"/>
        <v>545.66539923954383</v>
      </c>
      <c r="T86" s="107">
        <f>O86*'TTS Design Calcs'!$C$147*D86*3.785*1440/454000</f>
        <v>64750.227494933533</v>
      </c>
      <c r="U86" s="107">
        <v>88256.900223506556</v>
      </c>
      <c r="V86" s="107">
        <f t="shared" si="36"/>
        <v>129500.45498986707</v>
      </c>
      <c r="W86" s="107">
        <f t="shared" si="37"/>
        <v>17506.542989370915</v>
      </c>
      <c r="X86" s="107">
        <f>O86*'TTS Design Calcs'!$C$224*D86*3.785*1440/454000</f>
        <v>16249.223757061893</v>
      </c>
      <c r="Y86" s="107">
        <f t="shared" si="38"/>
        <v>2965.4833356637955</v>
      </c>
      <c r="Z86" s="107">
        <f>'TTS Design Calcs'!$C$269*(D86)/365</f>
        <v>124.84436210557023</v>
      </c>
      <c r="AA86" s="306">
        <f t="shared" si="39"/>
        <v>22.784096084266565</v>
      </c>
      <c r="AB86" s="293">
        <f>(L86-$A$121)*1440*'TTS Design Calcs'!$C$284</f>
        <v>45.857895805358176</v>
      </c>
      <c r="AC86" s="293">
        <f t="shared" si="40"/>
        <v>8.3690659844778672</v>
      </c>
      <c r="AD86" s="107">
        <f>H86*'TTS Design Calcs'!$C$343</f>
        <v>9842.7295084031539</v>
      </c>
      <c r="AE86" s="107">
        <f>H86*'TTS Design Calcs'!$C$352</f>
        <v>3280.9098361343854</v>
      </c>
      <c r="AF86" s="292">
        <f>H86*'TTS Design Calcs'!$C$309</f>
        <v>3418.1348617767972</v>
      </c>
      <c r="AG86" s="292">
        <f>H86*'TTS Design Calcs'!$C$317</f>
        <v>3418.1348617767972</v>
      </c>
      <c r="AH86" s="107">
        <f>H86*'TTS Design Calcs'!$C$326</f>
        <v>569.68914362946623</v>
      </c>
      <c r="AI86" s="302">
        <f>H86*'TTS Design Calcs'!$C$334</f>
        <v>569.68914362946623</v>
      </c>
      <c r="AJ86" s="304">
        <f>'TTS Design Calcs'!$C$381*H86</f>
        <v>986734.48336679954</v>
      </c>
      <c r="AK86" s="304">
        <f>'TTS Design Calcs'!$C$390*D86</f>
        <v>285502.02951026184</v>
      </c>
      <c r="AL86" s="305">
        <f t="shared" si="31"/>
        <v>1272236.5128770615</v>
      </c>
      <c r="AM86" s="452"/>
      <c r="AN86" s="452"/>
      <c r="AO86" s="452">
        <f t="shared" si="32"/>
        <v>23633.833035650743</v>
      </c>
    </row>
    <row r="87" spans="1:41" s="91" customFormat="1" ht="15" customHeight="1" x14ac:dyDescent="0.25">
      <c r="A87" s="106">
        <v>77</v>
      </c>
      <c r="B87" s="292">
        <v>963.84752555844068</v>
      </c>
      <c r="C87" s="292">
        <f t="shared" si="25"/>
        <v>663.84752555844068</v>
      </c>
      <c r="D87" s="292">
        <f t="shared" si="33"/>
        <v>1037.8421312754842</v>
      </c>
      <c r="E87" s="292">
        <f>3*U87/'TTS Design Calcs'!$I$97/'TTS Design Calcs'!$L$97/'TTS Design Calcs'!$O$97/'TTS Design Calcs'!$R$97</f>
        <v>73.994605717043612</v>
      </c>
      <c r="F87" s="292">
        <f t="shared" si="26"/>
        <v>747.24633451834859</v>
      </c>
      <c r="G87" s="292">
        <f t="shared" si="27"/>
        <v>290.59579675713559</v>
      </c>
      <c r="H87" s="292">
        <f t="shared" si="19"/>
        <v>747.2463345183487</v>
      </c>
      <c r="I87" s="292">
        <f t="shared" si="34"/>
        <v>582.85214092431204</v>
      </c>
      <c r="J87" s="292">
        <f t="shared" si="35"/>
        <v>164.39419359403666</v>
      </c>
      <c r="K87" s="292">
        <v>0</v>
      </c>
      <c r="L87" s="292">
        <f t="shared" si="28"/>
        <v>873.44793768144768</v>
      </c>
      <c r="M87" s="107">
        <v>2478.2412846919719</v>
      </c>
      <c r="N87" s="292">
        <v>479</v>
      </c>
      <c r="O87" s="107">
        <f t="shared" si="20"/>
        <v>2479.7926069129617</v>
      </c>
      <c r="P87" s="411">
        <v>1600</v>
      </c>
      <c r="Q87" s="107">
        <v>2500</v>
      </c>
      <c r="R87" s="107">
        <f t="shared" si="29"/>
        <v>7272.727272727273</v>
      </c>
      <c r="S87" s="292">
        <f t="shared" si="30"/>
        <v>545.6653992395436</v>
      </c>
      <c r="T87" s="107">
        <f>O87*'TTS Design Calcs'!$C$147*D87*3.785*1440/454000</f>
        <v>64625.625982209451</v>
      </c>
      <c r="U87" s="107">
        <v>88124.023667924514</v>
      </c>
      <c r="V87" s="107">
        <f t="shared" si="36"/>
        <v>129251.2519644189</v>
      </c>
      <c r="W87" s="107">
        <f t="shared" si="37"/>
        <v>17472.854432227003</v>
      </c>
      <c r="X87" s="107">
        <f>O87*'TTS Design Calcs'!$C$224*D87*3.785*1440/454000</f>
        <v>16217.954710773518</v>
      </c>
      <c r="Y87" s="107">
        <f t="shared" si="38"/>
        <v>2959.7767347161671</v>
      </c>
      <c r="Z87" s="107">
        <f>'TTS Design Calcs'!$C$269*(D87)/365</f>
        <v>124.70579259929234</v>
      </c>
      <c r="AA87" s="306">
        <f t="shared" si="39"/>
        <v>22.758807149370853</v>
      </c>
      <c r="AB87" s="293">
        <f>(L87-$A$121)*1440*'TTS Design Calcs'!$C$284</f>
        <v>45.780413277685625</v>
      </c>
      <c r="AC87" s="293">
        <f t="shared" si="40"/>
        <v>8.354925423177626</v>
      </c>
      <c r="AD87" s="107">
        <f>H87*'TTS Design Calcs'!$C$343</f>
        <v>9831.8046885282056</v>
      </c>
      <c r="AE87" s="107">
        <f>H87*'TTS Design Calcs'!$C$352</f>
        <v>3277.2682295094028</v>
      </c>
      <c r="AF87" s="292">
        <f>H87*'TTS Design Calcs'!$C$309</f>
        <v>3414.3409438761469</v>
      </c>
      <c r="AG87" s="292">
        <f>H87*'TTS Design Calcs'!$C$317</f>
        <v>3414.3409438761469</v>
      </c>
      <c r="AH87" s="107">
        <f>H87*'TTS Design Calcs'!$C$326</f>
        <v>569.05682397935777</v>
      </c>
      <c r="AI87" s="302">
        <f>H87*'TTS Design Calcs'!$C$334</f>
        <v>569.05682397935777</v>
      </c>
      <c r="AJ87" s="304">
        <f>'TTS Design Calcs'!$C$381*H87</f>
        <v>985639.26923072292</v>
      </c>
      <c r="AK87" s="304">
        <f>'TTS Design Calcs'!$C$390*D87</f>
        <v>285185.13994790323</v>
      </c>
      <c r="AL87" s="305">
        <f t="shared" si="31"/>
        <v>1270824.4091786263</v>
      </c>
      <c r="AM87" s="452"/>
      <c r="AN87" s="452"/>
      <c r="AO87" s="452">
        <f t="shared" si="32"/>
        <v>23588.353483506449</v>
      </c>
    </row>
    <row r="88" spans="1:41" s="91" customFormat="1" ht="15" customHeight="1" x14ac:dyDescent="0.25">
      <c r="A88" s="106">
        <v>78</v>
      </c>
      <c r="B88" s="292">
        <v>962.82568348571647</v>
      </c>
      <c r="C88" s="292">
        <f t="shared" si="25"/>
        <v>662.82568348571647</v>
      </c>
      <c r="D88" s="292">
        <f t="shared" si="33"/>
        <v>1036.7104222731734</v>
      </c>
      <c r="E88" s="292">
        <f>3*U88/'TTS Design Calcs'!$I$97/'TTS Design Calcs'!$L$97/'TTS Design Calcs'!$O$97/'TTS Design Calcs'!$R$97</f>
        <v>73.884738787456925</v>
      </c>
      <c r="F88" s="292">
        <f t="shared" si="26"/>
        <v>746.43150403668483</v>
      </c>
      <c r="G88" s="292">
        <f t="shared" si="27"/>
        <v>290.27891823648861</v>
      </c>
      <c r="H88" s="292">
        <f t="shared" si="19"/>
        <v>746.43150403668483</v>
      </c>
      <c r="I88" s="292">
        <f t="shared" si="34"/>
        <v>582.2165731486142</v>
      </c>
      <c r="J88" s="292">
        <f t="shared" si="35"/>
        <v>164.21493088807063</v>
      </c>
      <c r="K88" s="292">
        <v>0</v>
      </c>
      <c r="L88" s="292">
        <f t="shared" si="28"/>
        <v>872.49549138510281</v>
      </c>
      <c r="M88" s="107">
        <v>2476.0866713381374</v>
      </c>
      <c r="N88" s="292">
        <v>479</v>
      </c>
      <c r="O88" s="107">
        <f t="shared" si="20"/>
        <v>2477.7909370653465</v>
      </c>
      <c r="P88" s="411">
        <v>1600</v>
      </c>
      <c r="Q88" s="107">
        <v>2500</v>
      </c>
      <c r="R88" s="107">
        <f t="shared" si="29"/>
        <v>7272.727272727273</v>
      </c>
      <c r="S88" s="292">
        <f t="shared" si="30"/>
        <v>545.66539923954372</v>
      </c>
      <c r="T88" s="107">
        <f>O88*'TTS Design Calcs'!$C$147*D88*3.785*1440/454000</f>
        <v>64503.046905423922</v>
      </c>
      <c r="U88" s="107">
        <v>87993.177428399387</v>
      </c>
      <c r="V88" s="107">
        <f t="shared" si="36"/>
        <v>129006.09381084784</v>
      </c>
      <c r="W88" s="107">
        <f t="shared" si="37"/>
        <v>17439.712681836838</v>
      </c>
      <c r="X88" s="107">
        <f>O88*'TTS Design Calcs'!$C$224*D88*3.785*1440/454000</f>
        <v>16187.193199599245</v>
      </c>
      <c r="Y88" s="107">
        <f t="shared" si="38"/>
        <v>2954.1627589268624</v>
      </c>
      <c r="Z88" s="107">
        <f>'TTS Design Calcs'!$C$269*(D88)/365</f>
        <v>124.56980788266547</v>
      </c>
      <c r="AA88" s="306">
        <f t="shared" si="39"/>
        <v>22.733989938586447</v>
      </c>
      <c r="AB88" s="293">
        <f>(L88-$A$121)*1440*'TTS Design Calcs'!$C$284</f>
        <v>45.704376061041749</v>
      </c>
      <c r="AC88" s="293">
        <f t="shared" si="40"/>
        <v>8.3410486311401204</v>
      </c>
      <c r="AD88" s="107">
        <f>H88*'TTS Design Calcs'!$C$343</f>
        <v>9821.0836534693426</v>
      </c>
      <c r="AE88" s="107">
        <f>H88*'TTS Design Calcs'!$C$352</f>
        <v>3273.6945511564481</v>
      </c>
      <c r="AF88" s="292">
        <f>H88*'TTS Design Calcs'!$C$309</f>
        <v>3410.6177953676211</v>
      </c>
      <c r="AG88" s="292">
        <f>H88*'TTS Design Calcs'!$C$317</f>
        <v>3410.6177953676211</v>
      </c>
      <c r="AH88" s="107">
        <f>H88*'TTS Design Calcs'!$C$326</f>
        <v>568.43629922793684</v>
      </c>
      <c r="AI88" s="302">
        <f>H88*'TTS Design Calcs'!$C$334</f>
        <v>568.43629922793684</v>
      </c>
      <c r="AJ88" s="304">
        <f>'TTS Design Calcs'!$C$381*H88</f>
        <v>984564.48454006028</v>
      </c>
      <c r="AK88" s="304">
        <f>'TTS Design Calcs'!$C$390*D88</f>
        <v>284874.16144695564</v>
      </c>
      <c r="AL88" s="305">
        <f t="shared" si="31"/>
        <v>1269438.6459870159</v>
      </c>
      <c r="AM88" s="452"/>
      <c r="AN88" s="452"/>
      <c r="AO88" s="452">
        <f t="shared" si="32"/>
        <v>23543.612120479731</v>
      </c>
    </row>
    <row r="89" spans="1:41" s="91" customFormat="1" ht="15" customHeight="1" x14ac:dyDescent="0.25">
      <c r="A89" s="106">
        <v>79</v>
      </c>
      <c r="B89" s="292">
        <v>961.82194984935131</v>
      </c>
      <c r="C89" s="292">
        <f t="shared" ref="C89:C110" si="41">B89-$A$121</f>
        <v>661.82194984935131</v>
      </c>
      <c r="D89" s="292">
        <f t="shared" si="33"/>
        <v>1035.5983896786536</v>
      </c>
      <c r="E89" s="292">
        <f>3*U89/'TTS Design Calcs'!$I$97/'TTS Design Calcs'!$L$97/'TTS Design Calcs'!$O$97/'TTS Design Calcs'!$R$97</f>
        <v>73.776439829302234</v>
      </c>
      <c r="F89" s="292">
        <f t="shared" ref="F89:F110" si="42">D89*(1-$A$118)</f>
        <v>745.63084056863056</v>
      </c>
      <c r="G89" s="292">
        <f t="shared" ref="G89:G110" si="43">D89*$A$118</f>
        <v>289.96754911002301</v>
      </c>
      <c r="H89" s="292">
        <f t="shared" si="19"/>
        <v>745.63084056863056</v>
      </c>
      <c r="I89" s="292">
        <f t="shared" si="34"/>
        <v>581.59205564353181</v>
      </c>
      <c r="J89" s="292">
        <f t="shared" si="35"/>
        <v>164.03878492509875</v>
      </c>
      <c r="K89" s="292">
        <v>0</v>
      </c>
      <c r="L89" s="292">
        <f t="shared" ref="L89:L110" si="44">+G89+I89</f>
        <v>871.55960475355482</v>
      </c>
      <c r="M89" s="107">
        <v>2473.9538465004225</v>
      </c>
      <c r="N89" s="292">
        <v>479</v>
      </c>
      <c r="O89" s="107">
        <f t="shared" si="20"/>
        <v>2475.8093848013677</v>
      </c>
      <c r="P89" s="411">
        <v>1600</v>
      </c>
      <c r="Q89" s="107">
        <v>2500</v>
      </c>
      <c r="R89" s="107">
        <f t="shared" ref="R89:R110" si="45">P89*$A$120</f>
        <v>7272.727272727273</v>
      </c>
      <c r="S89" s="292">
        <f t="shared" ref="S89:S110" si="46">(G89*P89+I89*20)/(G89+I89)</f>
        <v>545.66539923954372</v>
      </c>
      <c r="T89" s="107">
        <f>O89*'TTS Design Calcs'!$C$147*D89*3.785*1440/454000</f>
        <v>64382.328000922789</v>
      </c>
      <c r="U89" s="107">
        <v>87864.19856758714</v>
      </c>
      <c r="V89" s="107">
        <f t="shared" si="36"/>
        <v>128764.65600184558</v>
      </c>
      <c r="W89" s="107">
        <f t="shared" si="37"/>
        <v>17407.073866916162</v>
      </c>
      <c r="X89" s="107">
        <f>O89*'TTS Design Calcs'!$C$224*D89*3.785*1440/454000</f>
        <v>16156.898503088722</v>
      </c>
      <c r="Y89" s="107">
        <f t="shared" si="38"/>
        <v>2948.6339768136918</v>
      </c>
      <c r="Z89" s="107">
        <f>'TTS Design Calcs'!$C$269*(D89)/365</f>
        <v>124.43618745821283</v>
      </c>
      <c r="AA89" s="306">
        <f t="shared" si="39"/>
        <v>22.709604211123843</v>
      </c>
      <c r="AB89" s="293">
        <f>(L89-$A$121)*1440*'TTS Design Calcs'!$C$284</f>
        <v>45.629660862053399</v>
      </c>
      <c r="AC89" s="293">
        <f t="shared" si="40"/>
        <v>8.3274131073247446</v>
      </c>
      <c r="AD89" s="107">
        <f>H89*'TTS Design Calcs'!$C$343</f>
        <v>9810.5490192054967</v>
      </c>
      <c r="AE89" s="107">
        <f>H89*'TTS Design Calcs'!$C$352</f>
        <v>3270.1830064018332</v>
      </c>
      <c r="AF89" s="292">
        <f>H89*'TTS Design Calcs'!$C$309</f>
        <v>3406.9593792135888</v>
      </c>
      <c r="AG89" s="292">
        <f>H89*'TTS Design Calcs'!$C$317</f>
        <v>3406.9593792135888</v>
      </c>
      <c r="AH89" s="107">
        <f>H89*'TTS Design Calcs'!$C$326</f>
        <v>567.82656320226477</v>
      </c>
      <c r="AI89" s="302">
        <f>H89*'TTS Design Calcs'!$C$334</f>
        <v>567.82656320226477</v>
      </c>
      <c r="AJ89" s="304">
        <f>'TTS Design Calcs'!$C$381*H89</f>
        <v>983508.38654519827</v>
      </c>
      <c r="AK89" s="304">
        <f>'TTS Design Calcs'!$C$390*D89</f>
        <v>284568.58975976176</v>
      </c>
      <c r="AL89" s="305">
        <f t="shared" si="31"/>
        <v>1268076.97630496</v>
      </c>
      <c r="AM89" s="452"/>
      <c r="AN89" s="452"/>
      <c r="AO89" s="452">
        <f t="shared" si="32"/>
        <v>23499.549720336818</v>
      </c>
    </row>
    <row r="90" spans="1:41" s="91" customFormat="1" ht="15" customHeight="1" x14ac:dyDescent="0.25">
      <c r="A90" s="106">
        <v>80</v>
      </c>
      <c r="B90" s="292">
        <v>960.83530434804982</v>
      </c>
      <c r="C90" s="292">
        <f t="shared" si="41"/>
        <v>660.83530434804982</v>
      </c>
      <c r="D90" s="292">
        <f t="shared" si="33"/>
        <v>1034.5049248231303</v>
      </c>
      <c r="E90" s="292">
        <f>3*U90/'TTS Design Calcs'!$I$97/'TTS Design Calcs'!$L$97/'TTS Design Calcs'!$O$97/'TTS Design Calcs'!$R$97</f>
        <v>73.669620475080436</v>
      </c>
      <c r="F90" s="292">
        <f t="shared" si="42"/>
        <v>744.84354587265375</v>
      </c>
      <c r="G90" s="292">
        <f t="shared" si="43"/>
        <v>289.66137895047649</v>
      </c>
      <c r="H90" s="292">
        <f t="shared" ref="H90:H110" si="47">D90-G90</f>
        <v>744.84354587265375</v>
      </c>
      <c r="I90" s="292">
        <f t="shared" si="34"/>
        <v>580.97796578066993</v>
      </c>
      <c r="J90" s="292">
        <f t="shared" si="35"/>
        <v>163.86558009198382</v>
      </c>
      <c r="K90" s="292">
        <v>0</v>
      </c>
      <c r="L90" s="292">
        <f t="shared" si="44"/>
        <v>870.63934473114637</v>
      </c>
      <c r="M90" s="107">
        <v>2471.8415088628317</v>
      </c>
      <c r="N90" s="292">
        <v>479</v>
      </c>
      <c r="O90" s="107">
        <f t="shared" ref="O90:O110" si="48">(K90*R90+M90*B90+E90*Q90)/(K90+B90+E90)</f>
        <v>2473.8467437393892</v>
      </c>
      <c r="P90" s="411">
        <v>1600</v>
      </c>
      <c r="Q90" s="107">
        <v>2500</v>
      </c>
      <c r="R90" s="107">
        <f t="shared" si="45"/>
        <v>7272.727272727273</v>
      </c>
      <c r="S90" s="292">
        <f t="shared" si="46"/>
        <v>545.66539923954383</v>
      </c>
      <c r="T90" s="107">
        <f>O90*'TTS Design Calcs'!$C$147*D90*3.785*1440/454000</f>
        <v>64263.364437494398</v>
      </c>
      <c r="U90" s="107">
        <v>87736.98184403799</v>
      </c>
      <c r="V90" s="107">
        <f t="shared" si="36"/>
        <v>128526.7288749888</v>
      </c>
      <c r="W90" s="107">
        <f t="shared" si="37"/>
        <v>17374.909644211446</v>
      </c>
      <c r="X90" s="107">
        <f>O90*'TTS Design Calcs'!$C$224*D90*3.785*1440/454000</f>
        <v>16127.044313599787</v>
      </c>
      <c r="Y90" s="107">
        <f t="shared" si="38"/>
        <v>2943.1855872319611</v>
      </c>
      <c r="Z90" s="107">
        <f>'TTS Design Calcs'!$C$269*(D90)/365</f>
        <v>124.30479810969996</v>
      </c>
      <c r="AA90" s="306">
        <f t="shared" si="39"/>
        <v>22.685625655020242</v>
      </c>
      <c r="AB90" s="293">
        <f>(L90-$A$121)*1440*'TTS Design Calcs'!$C$284</f>
        <v>45.55619319152845</v>
      </c>
      <c r="AC90" s="293">
        <f t="shared" si="40"/>
        <v>8.3140052574539425</v>
      </c>
      <c r="AD90" s="107">
        <f>H90*'TTS Design Calcs'!$C$343</f>
        <v>9800.1902829687406</v>
      </c>
      <c r="AE90" s="107">
        <f>H90*'TTS Design Calcs'!$C$352</f>
        <v>3266.7300943229147</v>
      </c>
      <c r="AF90" s="292">
        <f>H90*'TTS Design Calcs'!$C$309</f>
        <v>3403.3620480642794</v>
      </c>
      <c r="AG90" s="292">
        <f>H90*'TTS Design Calcs'!$C$317</f>
        <v>3403.3620480642794</v>
      </c>
      <c r="AH90" s="107">
        <f>H90*'TTS Design Calcs'!$C$326</f>
        <v>567.22700801071323</v>
      </c>
      <c r="AI90" s="302">
        <f>H90*'TTS Design Calcs'!$C$334</f>
        <v>567.22700801071323</v>
      </c>
      <c r="AJ90" s="304">
        <f>'TTS Design Calcs'!$C$381*H90</f>
        <v>982469.92234274501</v>
      </c>
      <c r="AK90" s="304">
        <f>'TTS Design Calcs'!$C$390*D90</f>
        <v>284268.12023896159</v>
      </c>
      <c r="AL90" s="305">
        <f t="shared" si="31"/>
        <v>1266738.0425817065</v>
      </c>
      <c r="AM90" s="452"/>
      <c r="AN90" s="452"/>
      <c r="AO90" s="452">
        <f t="shared" si="32"/>
        <v>23456.128019685453</v>
      </c>
    </row>
    <row r="91" spans="1:41" s="91" customFormat="1" ht="15" customHeight="1" x14ac:dyDescent="0.25">
      <c r="A91" s="106">
        <v>81</v>
      </c>
      <c r="B91" s="292">
        <v>959.86004124675321</v>
      </c>
      <c r="C91" s="292">
        <f t="shared" si="41"/>
        <v>659.86004124675321</v>
      </c>
      <c r="D91" s="292">
        <f t="shared" si="33"/>
        <v>1033.4238671817036</v>
      </c>
      <c r="E91" s="292">
        <f>3*U91/'TTS Design Calcs'!$I$97/'TTS Design Calcs'!$L$97/'TTS Design Calcs'!$O$97/'TTS Design Calcs'!$R$97</f>
        <v>73.563825934950302</v>
      </c>
      <c r="F91" s="292">
        <f t="shared" si="42"/>
        <v>744.06518437082661</v>
      </c>
      <c r="G91" s="292">
        <f t="shared" si="43"/>
        <v>289.35868281087704</v>
      </c>
      <c r="H91" s="292">
        <f t="shared" si="47"/>
        <v>744.0651843708265</v>
      </c>
      <c r="I91" s="292">
        <f t="shared" si="34"/>
        <v>580.37084380924466</v>
      </c>
      <c r="J91" s="292">
        <f t="shared" si="35"/>
        <v>163.69434056158184</v>
      </c>
      <c r="K91" s="292">
        <v>0</v>
      </c>
      <c r="L91" s="292">
        <f t="shared" si="44"/>
        <v>869.72952662012176</v>
      </c>
      <c r="M91" s="107">
        <v>2469.7433219736836</v>
      </c>
      <c r="N91" s="292">
        <v>479</v>
      </c>
      <c r="O91" s="107">
        <f t="shared" si="48"/>
        <v>2471.8971303638141</v>
      </c>
      <c r="P91" s="411">
        <v>1600</v>
      </c>
      <c r="Q91" s="107">
        <v>2500</v>
      </c>
      <c r="R91" s="107">
        <f t="shared" si="45"/>
        <v>7272.727272727273</v>
      </c>
      <c r="S91" s="292">
        <f t="shared" si="46"/>
        <v>545.66539923954372</v>
      </c>
      <c r="T91" s="107">
        <f>O91*'TTS Design Calcs'!$C$147*D91*3.785*1440/454000</f>
        <v>64145.616844539807</v>
      </c>
      <c r="U91" s="107">
        <v>87610.985624880937</v>
      </c>
      <c r="V91" s="107">
        <f t="shared" si="36"/>
        <v>128291.23368907961</v>
      </c>
      <c r="W91" s="107">
        <f t="shared" si="37"/>
        <v>17343.074183894096</v>
      </c>
      <c r="X91" s="107">
        <f>O91*'TTS Design Calcs'!$C$224*D91*3.785*1440/454000</f>
        <v>16097.495274796422</v>
      </c>
      <c r="Y91" s="107">
        <f t="shared" si="38"/>
        <v>2937.792887650347</v>
      </c>
      <c r="Z91" s="107">
        <f>'TTS Design Calcs'!$C$269*(D91)/365</f>
        <v>124.17489959627774</v>
      </c>
      <c r="AA91" s="306">
        <f t="shared" si="39"/>
        <v>22.661919176320687</v>
      </c>
      <c r="AB91" s="293">
        <f>(L91-$A$121)*1440*'TTS Design Calcs'!$C$284</f>
        <v>45.483559136380158</v>
      </c>
      <c r="AC91" s="293">
        <f t="shared" si="40"/>
        <v>8.3007495423893793</v>
      </c>
      <c r="AD91" s="107">
        <f>H91*'TTS Design Calcs'!$C$343</f>
        <v>9789.9490841705338</v>
      </c>
      <c r="AE91" s="107">
        <f>H91*'TTS Design Calcs'!$C$352</f>
        <v>3263.3163613901784</v>
      </c>
      <c r="AF91" s="292">
        <f>H91*'TTS Design Calcs'!$C$309</f>
        <v>3399.8055347405457</v>
      </c>
      <c r="AG91" s="292">
        <f>H91*'TTS Design Calcs'!$C$317</f>
        <v>3399.8055347405457</v>
      </c>
      <c r="AH91" s="107">
        <f>H91*'TTS Design Calcs'!$C$326</f>
        <v>566.63425579009095</v>
      </c>
      <c r="AI91" s="302">
        <f>H91*'TTS Design Calcs'!$C$334</f>
        <v>566.63425579009095</v>
      </c>
      <c r="AJ91" s="304">
        <f>'TTS Design Calcs'!$C$381*H91</f>
        <v>981443.24127865804</v>
      </c>
      <c r="AK91" s="304">
        <f>'TTS Design Calcs'!$C$390*D91</f>
        <v>283971.06005468953</v>
      </c>
      <c r="AL91" s="305">
        <f t="shared" si="31"/>
        <v>1265414.3013333476</v>
      </c>
      <c r="AM91" s="452"/>
      <c r="AN91" s="452"/>
      <c r="AO91" s="452">
        <f t="shared" si="32"/>
        <v>23413.150148257027</v>
      </c>
    </row>
    <row r="92" spans="1:41" s="91" customFormat="1" ht="15" customHeight="1" x14ac:dyDescent="0.25">
      <c r="A92" s="106">
        <v>82</v>
      </c>
      <c r="B92" s="292">
        <v>958.90087877921894</v>
      </c>
      <c r="C92" s="292">
        <f t="shared" si="41"/>
        <v>658.90087877921894</v>
      </c>
      <c r="D92" s="292">
        <f t="shared" si="33"/>
        <v>1032.3602760031526</v>
      </c>
      <c r="E92" s="292">
        <f>3*U92/'TTS Design Calcs'!$I$97/'TTS Design Calcs'!$L$97/'TTS Design Calcs'!$O$97/'TTS Design Calcs'!$R$97</f>
        <v>73.459397223933593</v>
      </c>
      <c r="F92" s="292">
        <f t="shared" si="42"/>
        <v>743.29939872226987</v>
      </c>
      <c r="G92" s="292">
        <f t="shared" si="43"/>
        <v>289.06087728088278</v>
      </c>
      <c r="H92" s="292">
        <f t="shared" si="47"/>
        <v>743.29939872226987</v>
      </c>
      <c r="I92" s="292">
        <f t="shared" si="34"/>
        <v>579.77353100337052</v>
      </c>
      <c r="J92" s="292">
        <f t="shared" si="35"/>
        <v>163.52586771889935</v>
      </c>
      <c r="K92" s="292">
        <v>0</v>
      </c>
      <c r="L92" s="292">
        <f t="shared" si="44"/>
        <v>868.8344082842533</v>
      </c>
      <c r="M92" s="107">
        <v>2467.6631631922282</v>
      </c>
      <c r="N92" s="292">
        <v>479</v>
      </c>
      <c r="O92" s="107">
        <f t="shared" si="48"/>
        <v>2469.9641472529711</v>
      </c>
      <c r="P92" s="411">
        <v>1600</v>
      </c>
      <c r="Q92" s="107">
        <v>2500</v>
      </c>
      <c r="R92" s="107">
        <f t="shared" si="45"/>
        <v>7272.727272727273</v>
      </c>
      <c r="S92" s="292">
        <f t="shared" si="46"/>
        <v>545.66539923954372</v>
      </c>
      <c r="T92" s="107">
        <f>O92*'TTS Design Calcs'!$C$147*D92*3.785*1440/454000</f>
        <v>64029.48951583694</v>
      </c>
      <c r="U92" s="107">
        <v>87486.616042638168</v>
      </c>
      <c r="V92" s="107">
        <f t="shared" si="36"/>
        <v>128058.97903167388</v>
      </c>
      <c r="W92" s="107">
        <f t="shared" si="37"/>
        <v>17311.67679502258</v>
      </c>
      <c r="X92" s="107">
        <f>O92*'TTS Design Calcs'!$C$224*D92*3.785*1440/454000</f>
        <v>16068.352845164796</v>
      </c>
      <c r="Y92" s="107">
        <f t="shared" si="38"/>
        <v>2932.4743942425753</v>
      </c>
      <c r="Z92" s="107">
        <f>'TTS Design Calcs'!$C$269*(D92)/365</f>
        <v>124.04709983085502</v>
      </c>
      <c r="AA92" s="306">
        <f t="shared" si="39"/>
        <v>22.63859571913104</v>
      </c>
      <c r="AB92" s="293">
        <f>(L92-$A$121)*1440*'TTS Design Calcs'!$C$284</f>
        <v>45.412098617201771</v>
      </c>
      <c r="AC92" s="293">
        <f t="shared" si="40"/>
        <v>8.2877079976393233</v>
      </c>
      <c r="AD92" s="107">
        <f>H92*'TTS Design Calcs'!$C$343</f>
        <v>9779.8733506646076</v>
      </c>
      <c r="AE92" s="107">
        <f>H92*'TTS Design Calcs'!$C$352</f>
        <v>3259.9577835548698</v>
      </c>
      <c r="AF92" s="292">
        <f>H92*'TTS Design Calcs'!$C$309</f>
        <v>3396.306483392525</v>
      </c>
      <c r="AG92" s="292">
        <f>H92*'TTS Design Calcs'!$C$317</f>
        <v>3396.306483392525</v>
      </c>
      <c r="AH92" s="107">
        <f>H92*'TTS Design Calcs'!$C$326</f>
        <v>566.05108056542088</v>
      </c>
      <c r="AI92" s="302">
        <f>H92*'TTS Design Calcs'!$C$334</f>
        <v>566.05108056542088</v>
      </c>
      <c r="AJ92" s="304">
        <f>'TTS Design Calcs'!$C$381*H92</f>
        <v>980433.14812441426</v>
      </c>
      <c r="AK92" s="304">
        <f>'TTS Design Calcs'!$C$390*D92</f>
        <v>283678.7994208592</v>
      </c>
      <c r="AL92" s="305">
        <f t="shared" si="31"/>
        <v>1264111.9475452735</v>
      </c>
      <c r="AM92" s="452"/>
      <c r="AN92" s="452"/>
      <c r="AO92" s="452">
        <f t="shared" si="32"/>
        <v>23370.763673280482</v>
      </c>
    </row>
    <row r="93" spans="1:41" s="91" customFormat="1" ht="15" customHeight="1" x14ac:dyDescent="0.25">
      <c r="A93" s="106">
        <v>83</v>
      </c>
      <c r="B93" s="292">
        <v>957.96030340779282</v>
      </c>
      <c r="C93" s="292">
        <f t="shared" si="41"/>
        <v>657.96030340779282</v>
      </c>
      <c r="D93" s="292">
        <f t="shared" si="33"/>
        <v>1031.3168974842849</v>
      </c>
      <c r="E93" s="292">
        <f>3*U93/'TTS Design Calcs'!$I$97/'TTS Design Calcs'!$L$97/'TTS Design Calcs'!$O$97/'TTS Design Calcs'!$R$97</f>
        <v>73.356594076492129</v>
      </c>
      <c r="F93" s="292">
        <f t="shared" si="42"/>
        <v>742.54816618868517</v>
      </c>
      <c r="G93" s="292">
        <f t="shared" si="43"/>
        <v>288.76873129559982</v>
      </c>
      <c r="H93" s="292">
        <f t="shared" si="47"/>
        <v>742.54816618868517</v>
      </c>
      <c r="I93" s="292">
        <f t="shared" si="34"/>
        <v>579.18756962717441</v>
      </c>
      <c r="J93" s="292">
        <f t="shared" si="35"/>
        <v>163.36059656151076</v>
      </c>
      <c r="K93" s="292">
        <v>0</v>
      </c>
      <c r="L93" s="292">
        <f t="shared" si="44"/>
        <v>867.95630092277429</v>
      </c>
      <c r="M93" s="107">
        <v>2465.6069298392708</v>
      </c>
      <c r="N93" s="292">
        <v>479</v>
      </c>
      <c r="O93" s="107">
        <f t="shared" si="48"/>
        <v>2468.0532763434144</v>
      </c>
      <c r="P93" s="411">
        <v>1600</v>
      </c>
      <c r="Q93" s="107">
        <v>2500</v>
      </c>
      <c r="R93" s="107">
        <f t="shared" si="45"/>
        <v>7272.727272727273</v>
      </c>
      <c r="S93" s="292">
        <f t="shared" si="46"/>
        <v>545.66539923954372</v>
      </c>
      <c r="T93" s="107">
        <f>O93*'TTS Design Calcs'!$C$147*D93*3.785*1440/454000</f>
        <v>63915.290735149189</v>
      </c>
      <c r="U93" s="107">
        <v>87364.182428586442</v>
      </c>
      <c r="V93" s="107">
        <f t="shared" si="36"/>
        <v>127830.58147029838</v>
      </c>
      <c r="W93" s="107">
        <f t="shared" si="37"/>
        <v>17280.800828392188</v>
      </c>
      <c r="X93" s="107">
        <f>O93*'TTS Design Calcs'!$C$224*D93*3.785*1440/454000</f>
        <v>16039.694389249347</v>
      </c>
      <c r="Y93" s="107">
        <f t="shared" si="38"/>
        <v>2927.2442260380058</v>
      </c>
      <c r="Z93" s="107">
        <f>'TTS Design Calcs'!$C$269*(D93)/365</f>
        <v>123.92172879295299</v>
      </c>
      <c r="AA93" s="306">
        <f t="shared" si="39"/>
        <v>22.615715504713922</v>
      </c>
      <c r="AB93" s="293">
        <f>(L93-$A$121)*1440*'TTS Design Calcs'!$C$284</f>
        <v>45.341996145348404</v>
      </c>
      <c r="AC93" s="293">
        <f t="shared" si="40"/>
        <v>8.2749142965260827</v>
      </c>
      <c r="AD93" s="107">
        <f>H93*'TTS Design Calcs'!$C$343</f>
        <v>9769.9890980364107</v>
      </c>
      <c r="AE93" s="107">
        <f>H93*'TTS Design Calcs'!$C$352</f>
        <v>3256.6630326788045</v>
      </c>
      <c r="AF93" s="292">
        <f>H93*'TTS Design Calcs'!$C$309</f>
        <v>3392.873928585223</v>
      </c>
      <c r="AG93" s="292">
        <f>H93*'TTS Design Calcs'!$C$317</f>
        <v>3392.873928585223</v>
      </c>
      <c r="AH93" s="107">
        <f>H93*'TTS Design Calcs'!$C$326</f>
        <v>565.47898809753713</v>
      </c>
      <c r="AI93" s="302">
        <f>H93*'TTS Design Calcs'!$C$334</f>
        <v>565.47898809753713</v>
      </c>
      <c r="AJ93" s="304">
        <f>'TTS Design Calcs'!$C$381*H93</f>
        <v>979442.25094470172</v>
      </c>
      <c r="AK93" s="304">
        <f>'TTS Design Calcs'!$C$390*D93</f>
        <v>283392.0929556319</v>
      </c>
      <c r="AL93" s="305">
        <f t="shared" si="31"/>
        <v>1262834.3439003336</v>
      </c>
      <c r="AM93" s="452"/>
      <c r="AN93" s="452"/>
      <c r="AO93" s="452">
        <f t="shared" si="32"/>
        <v>23329.081118329454</v>
      </c>
    </row>
    <row r="94" spans="1:41" s="91" customFormat="1" ht="15" customHeight="1" x14ac:dyDescent="0.25">
      <c r="A94" s="106">
        <v>84</v>
      </c>
      <c r="B94" s="292">
        <v>957.04014895584805</v>
      </c>
      <c r="C94" s="292">
        <f t="shared" si="41"/>
        <v>657.04014895584805</v>
      </c>
      <c r="D94" s="292">
        <f t="shared" si="33"/>
        <v>1030.2956760088746</v>
      </c>
      <c r="E94" s="292">
        <f>3*U94/'TTS Design Calcs'!$I$97/'TTS Design Calcs'!$L$97/'TTS Design Calcs'!$O$97/'TTS Design Calcs'!$R$97</f>
        <v>73.255527053026441</v>
      </c>
      <c r="F94" s="292">
        <f t="shared" si="42"/>
        <v>741.81288672638971</v>
      </c>
      <c r="G94" s="292">
        <f t="shared" si="43"/>
        <v>288.48278928248493</v>
      </c>
      <c r="H94" s="292">
        <f t="shared" si="47"/>
        <v>741.81288672638971</v>
      </c>
      <c r="I94" s="292">
        <f t="shared" si="34"/>
        <v>578.61405164658402</v>
      </c>
      <c r="J94" s="292">
        <f t="shared" si="35"/>
        <v>163.19883507980569</v>
      </c>
      <c r="K94" s="292">
        <v>0</v>
      </c>
      <c r="L94" s="292">
        <f t="shared" si="44"/>
        <v>867.096840929069</v>
      </c>
      <c r="M94" s="107">
        <v>2463.5752530661548</v>
      </c>
      <c r="N94" s="292">
        <v>479</v>
      </c>
      <c r="O94" s="107">
        <f>(K94*R94+M94*B94+E94*Q94)/(K94+B94+E94)</f>
        <v>2466.1651057623712</v>
      </c>
      <c r="P94" s="411">
        <v>1600</v>
      </c>
      <c r="Q94" s="107">
        <v>2500</v>
      </c>
      <c r="R94" s="107">
        <f t="shared" si="45"/>
        <v>7272.727272727273</v>
      </c>
      <c r="S94" s="292">
        <f t="shared" si="46"/>
        <v>545.66539923954372</v>
      </c>
      <c r="T94" s="107">
        <f>O94*'TTS Design Calcs'!$C$147*D94*3.785*1440/454000</f>
        <v>63803.151480417386</v>
      </c>
      <c r="U94" s="107">
        <v>87243.816454855943</v>
      </c>
      <c r="V94" s="107">
        <f t="shared" si="36"/>
        <v>127606.30296083477</v>
      </c>
      <c r="W94" s="107">
        <f t="shared" si="37"/>
        <v>17250.481696557294</v>
      </c>
      <c r="X94" s="107">
        <f>O94*'TTS Design Calcs'!$C$224*D94*3.785*1440/454000</f>
        <v>16011.55277627617</v>
      </c>
      <c r="Y94" s="107">
        <f t="shared" si="38"/>
        <v>2922.1083816704008</v>
      </c>
      <c r="Z94" s="107">
        <f>'TTS Design Calcs'!$C$269*(D94)/365</f>
        <v>123.79902011725686</v>
      </c>
      <c r="AA94" s="306">
        <f t="shared" si="39"/>
        <v>22.593321171399378</v>
      </c>
      <c r="AB94" s="293">
        <f>(L94-$A$121)*1440*'TTS Design Calcs'!$C$284</f>
        <v>45.273382359994926</v>
      </c>
      <c r="AC94" s="293">
        <f t="shared" si="40"/>
        <v>8.2623922806990748</v>
      </c>
      <c r="AD94" s="107">
        <f>H94*'TTS Design Calcs'!$C$343</f>
        <v>9760.3147460445271</v>
      </c>
      <c r="AE94" s="107">
        <f>H94*'TTS Design Calcs'!$C$352</f>
        <v>3253.4382486815102</v>
      </c>
      <c r="AF94" s="292">
        <f>H94*'TTS Design Calcs'!$C$309</f>
        <v>3389.5142670421187</v>
      </c>
      <c r="AG94" s="292">
        <f>H94*'TTS Design Calcs'!$C$317</f>
        <v>3389.5142670421187</v>
      </c>
      <c r="AH94" s="107">
        <f>H94*'TTS Design Calcs'!$C$326</f>
        <v>564.91904450701986</v>
      </c>
      <c r="AI94" s="302">
        <f>H94*'TTS Design Calcs'!$C$334</f>
        <v>564.91904450701986</v>
      </c>
      <c r="AJ94" s="304">
        <f>'TTS Design Calcs'!$C$381*H94</f>
        <v>978472.39632190939</v>
      </c>
      <c r="AK94" s="304">
        <f>'TTS Design Calcs'!$C$390*D94</f>
        <v>283111.47494966915</v>
      </c>
      <c r="AL94" s="305">
        <f t="shared" si="31"/>
        <v>1261583.8712715786</v>
      </c>
      <c r="AM94" s="452"/>
      <c r="AN94" s="452"/>
      <c r="AO94" s="452">
        <f t="shared" si="32"/>
        <v>23288.150290352343</v>
      </c>
    </row>
    <row r="95" spans="1:41" s="91" customFormat="1" ht="15" customHeight="1" x14ac:dyDescent="0.25">
      <c r="A95" s="106">
        <v>85</v>
      </c>
      <c r="B95" s="292">
        <v>956.12987531948522</v>
      </c>
      <c r="C95" s="292">
        <f t="shared" si="41"/>
        <v>656.12987531948522</v>
      </c>
      <c r="D95" s="292">
        <f t="shared" si="33"/>
        <v>1029.2851988924372</v>
      </c>
      <c r="E95" s="292">
        <f>3*U95/'TTS Design Calcs'!$I$97/'TTS Design Calcs'!$L$97/'TTS Design Calcs'!$O$97/'TTS Design Calcs'!$R$97</f>
        <v>73.155323572951971</v>
      </c>
      <c r="F95" s="292">
        <f t="shared" si="42"/>
        <v>741.08534320255478</v>
      </c>
      <c r="G95" s="292">
        <f t="shared" si="43"/>
        <v>288.19985568988244</v>
      </c>
      <c r="H95" s="292">
        <f t="shared" si="47"/>
        <v>741.08534320255467</v>
      </c>
      <c r="I95" s="292">
        <f t="shared" si="34"/>
        <v>578.04656769799271</v>
      </c>
      <c r="J95" s="292">
        <f t="shared" si="35"/>
        <v>163.03877550456195</v>
      </c>
      <c r="K95" s="292">
        <v>0</v>
      </c>
      <c r="L95" s="292">
        <f t="shared" si="44"/>
        <v>866.24642338787521</v>
      </c>
      <c r="M95" s="107">
        <v>2461.5546428250009</v>
      </c>
      <c r="N95" s="292">
        <v>479</v>
      </c>
      <c r="O95" s="107">
        <f t="shared" si="48"/>
        <v>2464.2871046801224</v>
      </c>
      <c r="P95" s="411">
        <v>1600</v>
      </c>
      <c r="Q95" s="107">
        <v>2500</v>
      </c>
      <c r="R95" s="107">
        <f t="shared" si="45"/>
        <v>7272.727272727273</v>
      </c>
      <c r="S95" s="292">
        <f t="shared" si="46"/>
        <v>545.66539923954372</v>
      </c>
      <c r="T95" s="107">
        <f>O95*'TTS Design Calcs'!$C$147*D95*3.785*1440/454000</f>
        <v>63692.036762438496</v>
      </c>
      <c r="U95" s="107">
        <v>87124.478919854286</v>
      </c>
      <c r="V95" s="107">
        <f t="shared" si="36"/>
        <v>127384.07352487699</v>
      </c>
      <c r="W95" s="107">
        <f t="shared" si="37"/>
        <v>17220.439569103743</v>
      </c>
      <c r="X95" s="107">
        <f>O95*'TTS Design Calcs'!$C$224*D95*3.785*1440/454000</f>
        <v>15983.668273240513</v>
      </c>
      <c r="Y95" s="107">
        <f t="shared" si="38"/>
        <v>2917.0194598663938</v>
      </c>
      <c r="Z95" s="107">
        <f>'TTS Design Calcs'!$C$269*(D95)/365</f>
        <v>123.67760247009127</v>
      </c>
      <c r="AA95" s="306">
        <f t="shared" si="39"/>
        <v>22.571162450791658</v>
      </c>
      <c r="AB95" s="293">
        <f>(L95-$A$121)*1440*'TTS Design Calcs'!$C$284</f>
        <v>45.205490466178276</v>
      </c>
      <c r="AC95" s="293">
        <f t="shared" si="40"/>
        <v>8.2500020100775338</v>
      </c>
      <c r="AD95" s="107">
        <f>H95*'TTS Design Calcs'!$C$343</f>
        <v>9750.7421787419917</v>
      </c>
      <c r="AE95" s="107">
        <f>H95*'TTS Design Calcs'!$C$352</f>
        <v>3250.2473929139983</v>
      </c>
      <c r="AF95" s="292">
        <f>H95*'TTS Design Calcs'!$C$309</f>
        <v>3386.1899527870573</v>
      </c>
      <c r="AG95" s="292">
        <f>H95*'TTS Design Calcs'!$C$317</f>
        <v>3386.1899527870573</v>
      </c>
      <c r="AH95" s="107">
        <f>H95*'TTS Design Calcs'!$C$326</f>
        <v>564.36499213117622</v>
      </c>
      <c r="AI95" s="302">
        <f>H95*'TTS Design Calcs'!$C$334</f>
        <v>564.36499213117622</v>
      </c>
      <c r="AJ95" s="304">
        <f>'TTS Design Calcs'!$C$381*H95</f>
        <v>977512.74562301568</v>
      </c>
      <c r="AK95" s="304">
        <f>'TTS Design Calcs'!$C$390*D95</f>
        <v>282833.8093498816</v>
      </c>
      <c r="AL95" s="305">
        <f t="shared" si="31"/>
        <v>1260346.5549728973</v>
      </c>
      <c r="AM95" s="452"/>
      <c r="AN95" s="452"/>
      <c r="AO95" s="452">
        <f t="shared" si="32"/>
        <v>23247.593418290053</v>
      </c>
    </row>
    <row r="96" spans="1:41" s="91" customFormat="1" ht="15" customHeight="1" x14ac:dyDescent="0.25">
      <c r="A96" s="106">
        <v>86</v>
      </c>
      <c r="B96" s="292">
        <v>955.22881708051455</v>
      </c>
      <c r="C96" s="292">
        <f t="shared" si="41"/>
        <v>655.22881708051455</v>
      </c>
      <c r="D96" s="292">
        <f t="shared" si="33"/>
        <v>1028.284808078304</v>
      </c>
      <c r="E96" s="292">
        <f>3*U96/'TTS Design Calcs'!$I$97/'TTS Design Calcs'!$L$97/'TTS Design Calcs'!$O$97/'TTS Design Calcs'!$R$97</f>
        <v>73.055990997789479</v>
      </c>
      <c r="F96" s="292">
        <f t="shared" si="42"/>
        <v>740.36506181637878</v>
      </c>
      <c r="G96" s="292">
        <f t="shared" si="43"/>
        <v>287.91974626192513</v>
      </c>
      <c r="H96" s="292">
        <f t="shared" si="47"/>
        <v>740.36506181637878</v>
      </c>
      <c r="I96" s="292">
        <f t="shared" si="34"/>
        <v>577.48474821677542</v>
      </c>
      <c r="J96" s="292">
        <f t="shared" si="35"/>
        <v>162.88031359960337</v>
      </c>
      <c r="K96" s="292">
        <v>0</v>
      </c>
      <c r="L96" s="292">
        <f t="shared" si="44"/>
        <v>865.4044944787006</v>
      </c>
      <c r="M96" s="107">
        <v>2459.5472615249114</v>
      </c>
      <c r="N96" s="292">
        <v>479</v>
      </c>
      <c r="O96" s="107">
        <f t="shared" si="48"/>
        <v>2462.421285214316</v>
      </c>
      <c r="P96" s="411">
        <v>1600</v>
      </c>
      <c r="Q96" s="107">
        <v>2500</v>
      </c>
      <c r="R96" s="107">
        <f t="shared" si="45"/>
        <v>7272.727272727273</v>
      </c>
      <c r="S96" s="292">
        <f t="shared" si="46"/>
        <v>545.66539923954383</v>
      </c>
      <c r="T96" s="107">
        <f>O96*'TTS Design Calcs'!$C$147*D96*3.785*1440/454000</f>
        <v>63581.955552163432</v>
      </c>
      <c r="U96" s="107">
        <v>87006.178590799376</v>
      </c>
      <c r="V96" s="107">
        <f t="shared" si="36"/>
        <v>127163.91110432686</v>
      </c>
      <c r="W96" s="107">
        <f t="shared" si="37"/>
        <v>17190.676871510856</v>
      </c>
      <c r="X96" s="107">
        <f>O96*'TTS Design Calcs'!$C$224*D96*3.785*1440/454000</f>
        <v>15956.04313142387</v>
      </c>
      <c r="Y96" s="107">
        <f t="shared" si="38"/>
        <v>2911.9778714848562</v>
      </c>
      <c r="Z96" s="107">
        <f>'TTS Design Calcs'!$C$269*(D96)/365</f>
        <v>123.55739678020258</v>
      </c>
      <c r="AA96" s="306">
        <f t="shared" si="39"/>
        <v>22.549224912386968</v>
      </c>
      <c r="AB96" s="293">
        <f>(L96-$A$121)*1440*'TTS Design Calcs'!$C$284</f>
        <v>45.138276250414798</v>
      </c>
      <c r="AC96" s="293">
        <f t="shared" si="40"/>
        <v>8.2377354157007012</v>
      </c>
      <c r="AD96" s="107">
        <f>H96*'TTS Design Calcs'!$C$343</f>
        <v>9741.2651621511668</v>
      </c>
      <c r="AE96" s="107">
        <f>H96*'TTS Design Calcs'!$C$352</f>
        <v>3247.0883873837233</v>
      </c>
      <c r="AF96" s="292">
        <f>H96*'TTS Design Calcs'!$C$309</f>
        <v>3382.8988209148383</v>
      </c>
      <c r="AG96" s="292">
        <f>H96*'TTS Design Calcs'!$C$317</f>
        <v>3382.8988209148383</v>
      </c>
      <c r="AH96" s="107">
        <f>H96*'TTS Design Calcs'!$C$326</f>
        <v>563.81647015247302</v>
      </c>
      <c r="AI96" s="302">
        <f>H96*'TTS Design Calcs'!$C$334</f>
        <v>563.81647015247302</v>
      </c>
      <c r="AJ96" s="304">
        <f>'TTS Design Calcs'!$C$381*H96</f>
        <v>976562.67389122385</v>
      </c>
      <c r="AK96" s="304">
        <f>'TTS Design Calcs'!$C$390*D96</f>
        <v>282558.91533109616</v>
      </c>
      <c r="AL96" s="305">
        <f t="shared" si="31"/>
        <v>1259121.5892223199</v>
      </c>
      <c r="AM96" s="452"/>
      <c r="AN96" s="452"/>
      <c r="AO96" s="452">
        <f t="shared" si="32"/>
        <v>23207.413776539652</v>
      </c>
    </row>
    <row r="97" spans="1:41" s="91" customFormat="1" ht="15" customHeight="1" x14ac:dyDescent="0.25">
      <c r="A97" s="106">
        <v>87</v>
      </c>
      <c r="B97" s="292">
        <v>954.34918606233339</v>
      </c>
      <c r="C97" s="292">
        <f t="shared" si="41"/>
        <v>654.34918606233339</v>
      </c>
      <c r="D97" s="292">
        <f t="shared" si="33"/>
        <v>1027.3076498743831</v>
      </c>
      <c r="E97" s="292">
        <f>3*U97/'TTS Design Calcs'!$I$97/'TTS Design Calcs'!$L$97/'TTS Design Calcs'!$O$97/'TTS Design Calcs'!$R$97</f>
        <v>72.958463812049672</v>
      </c>
      <c r="F97" s="292">
        <f t="shared" si="42"/>
        <v>739.66150790955578</v>
      </c>
      <c r="G97" s="292">
        <f t="shared" si="43"/>
        <v>287.64614196482728</v>
      </c>
      <c r="H97" s="292">
        <f t="shared" si="47"/>
        <v>739.66150790955578</v>
      </c>
      <c r="I97" s="292">
        <f t="shared" si="34"/>
        <v>576.93597616945351</v>
      </c>
      <c r="J97" s="292">
        <f t="shared" si="35"/>
        <v>162.72553174010227</v>
      </c>
      <c r="K97" s="292">
        <v>0</v>
      </c>
      <c r="L97" s="292">
        <f t="shared" si="44"/>
        <v>864.58211813428079</v>
      </c>
      <c r="M97" s="107">
        <v>2457.5655503528333</v>
      </c>
      <c r="N97" s="292">
        <v>479</v>
      </c>
      <c r="O97" s="107">
        <f t="shared" si="48"/>
        <v>2460.5792067383823</v>
      </c>
      <c r="P97" s="411">
        <v>1600</v>
      </c>
      <c r="Q97" s="107">
        <v>2500</v>
      </c>
      <c r="R97" s="107">
        <f t="shared" si="45"/>
        <v>7272.727272727273</v>
      </c>
      <c r="S97" s="292">
        <f t="shared" si="46"/>
        <v>545.66539923954383</v>
      </c>
      <c r="T97" s="107">
        <f>O97*'TTS Design Calcs'!$C$147*D97*3.785*1440/454000</f>
        <v>63474.015967790299</v>
      </c>
      <c r="U97" s="107">
        <v>86890.028393888177</v>
      </c>
      <c r="V97" s="107">
        <f t="shared" si="36"/>
        <v>126948.0319355806</v>
      </c>
      <c r="W97" s="107">
        <f t="shared" si="37"/>
        <v>17161.493206106265</v>
      </c>
      <c r="X97" s="107">
        <f>O97*'TTS Design Calcs'!$C$224*D97*3.785*1440/454000</f>
        <v>15928.955435726422</v>
      </c>
      <c r="Y97" s="107">
        <f t="shared" si="38"/>
        <v>2907.0343670200718</v>
      </c>
      <c r="Z97" s="107">
        <f>'TTS Design Calcs'!$C$269*(D97)/365</f>
        <v>123.43998269125525</v>
      </c>
      <c r="AA97" s="306">
        <f t="shared" si="39"/>
        <v>22.527796841154082</v>
      </c>
      <c r="AB97" s="293">
        <f>(L97-$A$121)*1440*'TTS Design Calcs'!$C$284</f>
        <v>45.072622986284919</v>
      </c>
      <c r="AC97" s="293">
        <f t="shared" si="40"/>
        <v>8.2257536949969978</v>
      </c>
      <c r="AD97" s="107">
        <f>H97*'TTS Design Calcs'!$C$343</f>
        <v>9732.0082353785619</v>
      </c>
      <c r="AE97" s="107">
        <f>H97*'TTS Design Calcs'!$C$352</f>
        <v>3244.0027451261881</v>
      </c>
      <c r="AF97" s="292">
        <f>H97*'TTS Design Calcs'!$C$309</f>
        <v>3379.6841207559701</v>
      </c>
      <c r="AG97" s="292">
        <f>H97*'TTS Design Calcs'!$C$317</f>
        <v>3379.6841207559701</v>
      </c>
      <c r="AH97" s="107">
        <f>H97*'TTS Design Calcs'!$C$326</f>
        <v>563.28068679266164</v>
      </c>
      <c r="AI97" s="302">
        <f>H97*'TTS Design Calcs'!$C$334</f>
        <v>563.28068679266164</v>
      </c>
      <c r="AJ97" s="304">
        <f>'TTS Design Calcs'!$C$381*H97</f>
        <v>975634.66618271847</v>
      </c>
      <c r="AK97" s="304">
        <f>'TTS Design Calcs'!$C$390*D97</f>
        <v>282290.40532293729</v>
      </c>
      <c r="AL97" s="305">
        <f t="shared" si="31"/>
        <v>1257925.0715056558</v>
      </c>
      <c r="AM97" s="452"/>
      <c r="AN97" s="452"/>
      <c r="AO97" s="452">
        <f t="shared" si="32"/>
        <v>23168.01582824346</v>
      </c>
    </row>
    <row r="98" spans="1:41" s="91" customFormat="1" ht="15" customHeight="1" x14ac:dyDescent="0.25">
      <c r="A98" s="106">
        <v>88</v>
      </c>
      <c r="B98" s="292">
        <v>953.48359170908759</v>
      </c>
      <c r="C98" s="292">
        <f t="shared" si="41"/>
        <v>653.48359170908759</v>
      </c>
      <c r="D98" s="292">
        <f t="shared" si="33"/>
        <v>1026.3456818074783</v>
      </c>
      <c r="E98" s="292">
        <f>3*U98/'TTS Design Calcs'!$I$97/'TTS Design Calcs'!$L$97/'TTS Design Calcs'!$O$97/'TTS Design Calcs'!$R$97</f>
        <v>72.862090098390652</v>
      </c>
      <c r="F98" s="292">
        <f t="shared" si="42"/>
        <v>738.96889090138438</v>
      </c>
      <c r="G98" s="292">
        <f t="shared" si="43"/>
        <v>287.37679090609396</v>
      </c>
      <c r="H98" s="292">
        <f t="shared" si="47"/>
        <v>738.96889090138438</v>
      </c>
      <c r="I98" s="292">
        <f t="shared" si="34"/>
        <v>576.39573490307987</v>
      </c>
      <c r="J98" s="292">
        <f t="shared" si="35"/>
        <v>162.57315599830451</v>
      </c>
      <c r="K98" s="292">
        <v>0</v>
      </c>
      <c r="L98" s="292">
        <f t="shared" si="44"/>
        <v>863.77252580917389</v>
      </c>
      <c r="M98" s="107">
        <v>2455.5981543392631</v>
      </c>
      <c r="N98" s="292">
        <v>479</v>
      </c>
      <c r="O98" s="107">
        <f t="shared" si="48"/>
        <v>2458.7503196734319</v>
      </c>
      <c r="P98" s="411">
        <v>1600</v>
      </c>
      <c r="Q98" s="107">
        <v>2500</v>
      </c>
      <c r="R98" s="107">
        <f t="shared" si="45"/>
        <v>7272.727272727273</v>
      </c>
      <c r="S98" s="292">
        <f t="shared" si="46"/>
        <v>545.66539923954372</v>
      </c>
      <c r="T98" s="107">
        <f>O98*'TTS Design Calcs'!$C$147*D98*3.785*1440/454000</f>
        <v>63367.444600576899</v>
      </c>
      <c r="U98" s="107">
        <v>86775.251926858546</v>
      </c>
      <c r="V98" s="107">
        <f t="shared" si="36"/>
        <v>126734.8892011538</v>
      </c>
      <c r="W98" s="107">
        <f t="shared" si="37"/>
        <v>17132.679466081903</v>
      </c>
      <c r="X98" s="107">
        <f>O98*'TTS Design Calcs'!$C$224*D98*3.785*1440/454000</f>
        <v>15902.211097382869</v>
      </c>
      <c r="Y98" s="107">
        <f t="shared" si="38"/>
        <v>2902.1535252723734</v>
      </c>
      <c r="Z98" s="107">
        <f>'TTS Design Calcs'!$C$269*(D98)/365</f>
        <v>123.32439382988272</v>
      </c>
      <c r="AA98" s="306">
        <f t="shared" si="39"/>
        <v>22.506701873953595</v>
      </c>
      <c r="AB98" s="293">
        <f>(L98-$A$121)*1440*'TTS Design Calcs'!$C$284</f>
        <v>45.007990316439269</v>
      </c>
      <c r="AC98" s="293">
        <f t="shared" si="40"/>
        <v>8.2139582327501675</v>
      </c>
      <c r="AD98" s="107">
        <f>H98*'TTS Design Calcs'!$C$343</f>
        <v>9722.8952095479526</v>
      </c>
      <c r="AE98" s="107">
        <f>H98*'TTS Design Calcs'!$C$352</f>
        <v>3240.9650698493183</v>
      </c>
      <c r="AF98" s="292">
        <f>H98*'TTS Design Calcs'!$C$309</f>
        <v>3376.519393810941</v>
      </c>
      <c r="AG98" s="292">
        <f>H98*'TTS Design Calcs'!$C$317</f>
        <v>3376.519393810941</v>
      </c>
      <c r="AH98" s="107">
        <f>H98*'TTS Design Calcs'!$C$326</f>
        <v>562.75323230182346</v>
      </c>
      <c r="AI98" s="302">
        <f>H98*'TTS Design Calcs'!$C$334</f>
        <v>562.75323230182346</v>
      </c>
      <c r="AJ98" s="304">
        <f>'TTS Design Calcs'!$C$381*H98</f>
        <v>974721.08455607749</v>
      </c>
      <c r="AK98" s="304">
        <f>'TTS Design Calcs'!$C$390*D98</f>
        <v>282026.06936131226</v>
      </c>
      <c r="AL98" s="305">
        <f t="shared" si="31"/>
        <v>1256747.1539173897</v>
      </c>
      <c r="AM98" s="452"/>
      <c r="AN98" s="452"/>
      <c r="AO98" s="452">
        <f t="shared" si="32"/>
        <v>23129.117279210568</v>
      </c>
    </row>
    <row r="99" spans="1:41" s="91" customFormat="1" ht="15" customHeight="1" x14ac:dyDescent="0.25">
      <c r="A99" s="106">
        <v>89</v>
      </c>
      <c r="B99" s="292">
        <v>952.63324888312161</v>
      </c>
      <c r="C99" s="292">
        <f t="shared" si="41"/>
        <v>652.63324888312161</v>
      </c>
      <c r="D99" s="292">
        <f t="shared" si="33"/>
        <v>1025.400306077561</v>
      </c>
      <c r="E99" s="292">
        <f>3*U99/'TTS Design Calcs'!$I$97/'TTS Design Calcs'!$L$97/'TTS Design Calcs'!$O$97/'TTS Design Calcs'!$R$97</f>
        <v>72.767057194439488</v>
      </c>
      <c r="F99" s="292">
        <f t="shared" si="42"/>
        <v>738.28822037584393</v>
      </c>
      <c r="G99" s="292">
        <f t="shared" si="43"/>
        <v>287.11208570171709</v>
      </c>
      <c r="H99" s="292">
        <f t="shared" si="47"/>
        <v>738.28822037584393</v>
      </c>
      <c r="I99" s="292">
        <f t="shared" si="34"/>
        <v>575.86481189315828</v>
      </c>
      <c r="J99" s="292">
        <f t="shared" si="35"/>
        <v>162.42340848268566</v>
      </c>
      <c r="K99" s="292">
        <v>0</v>
      </c>
      <c r="L99" s="292">
        <f t="shared" si="44"/>
        <v>862.97689759487537</v>
      </c>
      <c r="M99" s="107">
        <v>2453.6508817098284</v>
      </c>
      <c r="N99" s="292">
        <v>479</v>
      </c>
      <c r="O99" s="107">
        <f t="shared" si="48"/>
        <v>2456.9400253950243</v>
      </c>
      <c r="P99" s="411">
        <v>1600</v>
      </c>
      <c r="Q99" s="107">
        <v>2500</v>
      </c>
      <c r="R99" s="107">
        <f t="shared" si="45"/>
        <v>7272.727272727273</v>
      </c>
      <c r="S99" s="292">
        <f t="shared" si="46"/>
        <v>545.66539923954372</v>
      </c>
      <c r="T99" s="107">
        <f>O99*'TTS Design Calcs'!$C$147*D99*3.785*1440/454000</f>
        <v>63262.463988048927</v>
      </c>
      <c r="U99" s="107">
        <v>86662.072299832085</v>
      </c>
      <c r="V99" s="107">
        <f t="shared" si="36"/>
        <v>126524.92797609785</v>
      </c>
      <c r="W99" s="107">
        <f t="shared" si="37"/>
        <v>17104.295818991002</v>
      </c>
      <c r="X99" s="107">
        <f>O99*'TTS Design Calcs'!$C$224*D99*3.785*1440/454000</f>
        <v>15875.865962715134</v>
      </c>
      <c r="Y99" s="107">
        <f t="shared" si="38"/>
        <v>2897.3455381955118</v>
      </c>
      <c r="Z99" s="107">
        <f>'TTS Design Calcs'!$C$269*(D99)/365</f>
        <v>123.21079868265298</v>
      </c>
      <c r="AA99" s="306">
        <f t="shared" si="39"/>
        <v>22.48597075958417</v>
      </c>
      <c r="AB99" s="293">
        <f>(L99-$A$121)*1440*'TTS Design Calcs'!$C$284</f>
        <v>44.944472451830251</v>
      </c>
      <c r="AC99" s="293">
        <f t="shared" si="40"/>
        <v>8.2023662224590215</v>
      </c>
      <c r="AD99" s="107">
        <f>H99*'TTS Design Calcs'!$C$343</f>
        <v>9713.9393681403581</v>
      </c>
      <c r="AE99" s="107">
        <f>H99*'TTS Design Calcs'!$C$352</f>
        <v>3237.9797893801206</v>
      </c>
      <c r="AF99" s="292">
        <f>H99*'TTS Design Calcs'!$C$309</f>
        <v>3373.4092531019328</v>
      </c>
      <c r="AG99" s="292">
        <f>H99*'TTS Design Calcs'!$C$317</f>
        <v>3373.4092531019328</v>
      </c>
      <c r="AH99" s="107">
        <f>H99*'TTS Design Calcs'!$C$326</f>
        <v>562.23487551698884</v>
      </c>
      <c r="AI99" s="302">
        <f>H99*'TTS Design Calcs'!$C$334</f>
        <v>562.23487551698884</v>
      </c>
      <c r="AJ99" s="304">
        <f>'TTS Design Calcs'!$C$381*H99</f>
        <v>973823.26068142033</v>
      </c>
      <c r="AK99" s="304">
        <f>'TTS Design Calcs'!$C$390*D99</f>
        <v>281766.2927520235</v>
      </c>
      <c r="AL99" s="305">
        <f t="shared" si="31"/>
        <v>1255589.5534334439</v>
      </c>
      <c r="AM99" s="452"/>
      <c r="AN99" s="452"/>
      <c r="AO99" s="452">
        <f t="shared" si="32"/>
        <v>23090.799355637861</v>
      </c>
    </row>
    <row r="100" spans="1:41" s="91" customFormat="1" ht="15" customHeight="1" x14ac:dyDescent="0.25">
      <c r="A100" s="106">
        <v>90</v>
      </c>
      <c r="B100" s="292">
        <v>951.79709351168765</v>
      </c>
      <c r="C100" s="292">
        <f t="shared" si="41"/>
        <v>651.79709351168765</v>
      </c>
      <c r="D100" s="292">
        <f t="shared" si="33"/>
        <v>1024.4703291036165</v>
      </c>
      <c r="E100" s="292">
        <f>3*U100/'TTS Design Calcs'!$I$97/'TTS Design Calcs'!$L$97/'TTS Design Calcs'!$O$97/'TTS Design Calcs'!$R$97</f>
        <v>72.673235591928872</v>
      </c>
      <c r="F100" s="292">
        <f t="shared" si="42"/>
        <v>737.61863695460386</v>
      </c>
      <c r="G100" s="292">
        <f t="shared" si="43"/>
        <v>286.85169214901265</v>
      </c>
      <c r="H100" s="292">
        <f t="shared" si="47"/>
        <v>737.61863695460374</v>
      </c>
      <c r="I100" s="292">
        <f t="shared" si="34"/>
        <v>575.34253682459098</v>
      </c>
      <c r="J100" s="292">
        <f t="shared" si="35"/>
        <v>162.27610013001276</v>
      </c>
      <c r="K100" s="292">
        <v>0</v>
      </c>
      <c r="L100" s="292">
        <f t="shared" si="44"/>
        <v>862.19422897360369</v>
      </c>
      <c r="M100" s="107">
        <v>2451.72052717713</v>
      </c>
      <c r="N100" s="292">
        <v>479</v>
      </c>
      <c r="O100" s="107">
        <f t="shared" si="48"/>
        <v>2455.1453462304848</v>
      </c>
      <c r="P100" s="411">
        <v>1600</v>
      </c>
      <c r="Q100" s="107">
        <v>2500</v>
      </c>
      <c r="R100" s="107">
        <f t="shared" si="45"/>
        <v>7272.727272727273</v>
      </c>
      <c r="S100" s="292">
        <f t="shared" si="46"/>
        <v>545.66539923954372</v>
      </c>
      <c r="T100" s="107">
        <f>O100*'TTS Design Calcs'!$C$147*D100*3.785*1440/454000</f>
        <v>63158.920357597963</v>
      </c>
      <c r="U100" s="107">
        <v>86550.335274678873</v>
      </c>
      <c r="V100" s="107">
        <f t="shared" si="36"/>
        <v>126317.84071519593</v>
      </c>
      <c r="W100" s="107">
        <f t="shared" si="37"/>
        <v>17076.300689276486</v>
      </c>
      <c r="X100" s="107">
        <f>O100*'TTS Design Calcs'!$C$224*D100*3.785*1440/454000</f>
        <v>15849.881442121014</v>
      </c>
      <c r="Y100" s="107">
        <f t="shared" si="38"/>
        <v>2892.6033631870851</v>
      </c>
      <c r="Z100" s="107">
        <f>'TTS Design Calcs'!$C$269*(D100)/365</f>
        <v>123.09905383038695</v>
      </c>
      <c r="AA100" s="306">
        <f t="shared" si="39"/>
        <v>22.465577324045618</v>
      </c>
      <c r="AB100" s="293">
        <f>(L100-$A$121)*1440*'TTS Design Calcs'!$C$284</f>
        <v>44.881989198187092</v>
      </c>
      <c r="AC100" s="293">
        <f t="shared" si="40"/>
        <v>8.1909630286691453</v>
      </c>
      <c r="AD100" s="107">
        <f>H100*'TTS Design Calcs'!$C$343</f>
        <v>9705.129403987703</v>
      </c>
      <c r="AE100" s="107">
        <f>H100*'TTS Design Calcs'!$C$352</f>
        <v>3235.0431346625687</v>
      </c>
      <c r="AF100" s="292">
        <f>H100*'TTS Design Calcs'!$C$309</f>
        <v>3370.3497719310353</v>
      </c>
      <c r="AG100" s="292">
        <f>H100*'TTS Design Calcs'!$C$317</f>
        <v>3370.3497719310353</v>
      </c>
      <c r="AH100" s="107">
        <f>H100*'TTS Design Calcs'!$C$326</f>
        <v>561.72496198850592</v>
      </c>
      <c r="AI100" s="302">
        <f>H100*'TTS Design Calcs'!$C$334</f>
        <v>561.72496198850592</v>
      </c>
      <c r="AJ100" s="304">
        <f>'TTS Design Calcs'!$C$381*H100</f>
        <v>972940.06101417064</v>
      </c>
      <c r="AK100" s="304">
        <f>'TTS Design Calcs'!$C$390*D100</f>
        <v>281510.74751496821</v>
      </c>
      <c r="AL100" s="305">
        <f t="shared" si="31"/>
        <v>1254450.8085291388</v>
      </c>
      <c r="AM100" s="452"/>
      <c r="AN100" s="452"/>
      <c r="AO100" s="452">
        <f t="shared" si="32"/>
        <v>23053.005930523257</v>
      </c>
    </row>
    <row r="101" spans="1:41" s="91" customFormat="1" ht="15" customHeight="1" x14ac:dyDescent="0.25">
      <c r="A101" s="106">
        <v>91</v>
      </c>
      <c r="B101" s="292">
        <v>950.97545120000314</v>
      </c>
      <c r="C101" s="292">
        <f t="shared" si="41"/>
        <v>650.97545120000314</v>
      </c>
      <c r="D101" s="292">
        <f t="shared" si="33"/>
        <v>1023.5561255452182</v>
      </c>
      <c r="E101" s="292">
        <f>3*U101/'TTS Design Calcs'!$I$97/'TTS Design Calcs'!$L$97/'TTS Design Calcs'!$O$97/'TTS Design Calcs'!$R$97</f>
        <v>72.580674345214987</v>
      </c>
      <c r="F101" s="292">
        <f t="shared" si="42"/>
        <v>736.96041039255704</v>
      </c>
      <c r="G101" s="292">
        <f t="shared" si="43"/>
        <v>286.59571515266111</v>
      </c>
      <c r="H101" s="292">
        <f t="shared" si="47"/>
        <v>736.96041039255704</v>
      </c>
      <c r="I101" s="292">
        <f t="shared" si="34"/>
        <v>574.82912010619452</v>
      </c>
      <c r="J101" s="292">
        <f t="shared" si="35"/>
        <v>162.13129028636251</v>
      </c>
      <c r="K101" s="292">
        <v>0</v>
      </c>
      <c r="L101" s="292">
        <f t="shared" si="44"/>
        <v>861.42483525885564</v>
      </c>
      <c r="M101" s="107">
        <v>2449.8086940928133</v>
      </c>
      <c r="N101" s="292">
        <v>479</v>
      </c>
      <c r="O101" s="107">
        <f t="shared" si="48"/>
        <v>2453.3677747705538</v>
      </c>
      <c r="P101" s="411">
        <v>1600</v>
      </c>
      <c r="Q101" s="107">
        <v>2500</v>
      </c>
      <c r="R101" s="107">
        <f t="shared" si="45"/>
        <v>7272.727272727273</v>
      </c>
      <c r="S101" s="292">
        <f t="shared" si="46"/>
        <v>545.66539923954372</v>
      </c>
      <c r="T101" s="107">
        <f>O101*'TTS Design Calcs'!$C$147*D101*3.785*1440/454000</f>
        <v>63056.871977377305</v>
      </c>
      <c r="U101" s="107">
        <v>86440.099272782478</v>
      </c>
      <c r="V101" s="107">
        <f t="shared" si="36"/>
        <v>126113.74395475461</v>
      </c>
      <c r="W101" s="107">
        <f t="shared" si="37"/>
        <v>17048.709830920532</v>
      </c>
      <c r="X101" s="107">
        <f>O101*'TTS Design Calcs'!$C$224*D101*3.785*1440/454000</f>
        <v>15824.272158132306</v>
      </c>
      <c r="Y101" s="107">
        <f t="shared" si="38"/>
        <v>2887.9296688591457</v>
      </c>
      <c r="Z101" s="107">
        <f>'TTS Design Calcs'!$C$269*(D101)/365</f>
        <v>122.98920429170322</v>
      </c>
      <c r="AA101" s="306">
        <f t="shared" si="39"/>
        <v>22.445529783235838</v>
      </c>
      <c r="AB101" s="293">
        <f>(L101-$A$121)*1440*'TTS Design Calcs'!$C$284</f>
        <v>44.82056572812138</v>
      </c>
      <c r="AC101" s="293">
        <f t="shared" si="40"/>
        <v>8.1797532453821518</v>
      </c>
      <c r="AD101" s="107">
        <f>H101*'TTS Design Calcs'!$C$343</f>
        <v>9696.4688663578781</v>
      </c>
      <c r="AE101" s="107">
        <f>H101*'TTS Design Calcs'!$C$352</f>
        <v>3232.1562887859604</v>
      </c>
      <c r="AF101" s="292">
        <f>H101*'TTS Design Calcs'!$C$309</f>
        <v>3367.3421828706064</v>
      </c>
      <c r="AG101" s="292">
        <f>H101*'TTS Design Calcs'!$C$317</f>
        <v>3367.3421828706064</v>
      </c>
      <c r="AH101" s="107">
        <f>H101*'TTS Design Calcs'!$C$326</f>
        <v>561.22369714510114</v>
      </c>
      <c r="AI101" s="302">
        <f>H101*'TTS Design Calcs'!$C$334</f>
        <v>561.22369714510114</v>
      </c>
      <c r="AJ101" s="304">
        <f>'TTS Design Calcs'!$C$381*H101</f>
        <v>972071.84136874112</v>
      </c>
      <c r="AK101" s="304">
        <f>'TTS Design Calcs'!$C$390*D101</f>
        <v>281259.53660158755</v>
      </c>
      <c r="AL101" s="305">
        <f t="shared" si="31"/>
        <v>1253331.3779703286</v>
      </c>
      <c r="AM101" s="452"/>
      <c r="AN101" s="452"/>
      <c r="AO101" s="452">
        <f t="shared" si="32"/>
        <v>23015.758271742718</v>
      </c>
    </row>
    <row r="102" spans="1:41" s="91" customFormat="1" ht="15" customHeight="1" x14ac:dyDescent="0.25">
      <c r="A102" s="106">
        <v>92</v>
      </c>
      <c r="B102" s="292">
        <v>950.17138841557949</v>
      </c>
      <c r="C102" s="292">
        <f t="shared" si="41"/>
        <v>650.17138841557949</v>
      </c>
      <c r="D102" s="292">
        <f t="shared" si="33"/>
        <v>1022.661023708884</v>
      </c>
      <c r="E102" s="292">
        <f>3*U102/'TTS Design Calcs'!$I$97/'TTS Design Calcs'!$L$97/'TTS Design Calcs'!$O$97/'TTS Design Calcs'!$R$97</f>
        <v>72.489635293304602</v>
      </c>
      <c r="F102" s="292">
        <f t="shared" si="42"/>
        <v>736.31593707039644</v>
      </c>
      <c r="G102" s="292">
        <f t="shared" si="43"/>
        <v>286.34508663848754</v>
      </c>
      <c r="H102" s="292">
        <f t="shared" si="47"/>
        <v>736.31593707039656</v>
      </c>
      <c r="I102" s="292">
        <f t="shared" si="34"/>
        <v>574.32643091490934</v>
      </c>
      <c r="J102" s="292">
        <f t="shared" si="35"/>
        <v>161.98950615548722</v>
      </c>
      <c r="K102" s="292">
        <v>0</v>
      </c>
      <c r="L102" s="292">
        <f t="shared" si="44"/>
        <v>860.67151755339682</v>
      </c>
      <c r="M102" s="107">
        <v>2447.9199470883518</v>
      </c>
      <c r="N102" s="292">
        <v>479</v>
      </c>
      <c r="O102" s="107">
        <f t="shared" si="48"/>
        <v>2451.6115555041388</v>
      </c>
      <c r="P102" s="411">
        <v>1600</v>
      </c>
      <c r="Q102" s="107">
        <v>2500</v>
      </c>
      <c r="R102" s="107">
        <f t="shared" si="45"/>
        <v>7272.727272727273</v>
      </c>
      <c r="S102" s="292">
        <f t="shared" si="46"/>
        <v>545.66539923954372</v>
      </c>
      <c r="T102" s="107">
        <f>O102*'TTS Design Calcs'!$C$147*D102*3.785*1440/454000</f>
        <v>62956.629449638545</v>
      </c>
      <c r="U102" s="107">
        <v>86331.6761318317</v>
      </c>
      <c r="V102" s="107">
        <f t="shared" si="36"/>
        <v>125913.25889927709</v>
      </c>
      <c r="W102" s="107">
        <f t="shared" si="37"/>
        <v>17021.607221568938</v>
      </c>
      <c r="X102" s="107">
        <f>O102*'TTS Design Calcs'!$C$224*D102*3.785*1440/454000</f>
        <v>15799.116057123578</v>
      </c>
      <c r="Y102" s="107">
        <f t="shared" si="38"/>
        <v>2883.3386804250531</v>
      </c>
      <c r="Z102" s="107">
        <f>'TTS Design Calcs'!$C$269*(D102)/365</f>
        <v>122.88164999168656</v>
      </c>
      <c r="AA102" s="306">
        <f t="shared" si="39"/>
        <v>22.425901123482795</v>
      </c>
      <c r="AB102" s="293">
        <f>(L102-$A$121)*1440*'TTS Design Calcs'!$C$284</f>
        <v>44.760425663750866</v>
      </c>
      <c r="AC102" s="293">
        <f t="shared" si="40"/>
        <v>8.1687776836345325</v>
      </c>
      <c r="AD102" s="107">
        <f>H102*'TTS Design Calcs'!$C$343</f>
        <v>9687.9892853445672</v>
      </c>
      <c r="AE102" s="107">
        <f>H102*'TTS Design Calcs'!$C$352</f>
        <v>3229.3297617815228</v>
      </c>
      <c r="AF102" s="292">
        <f>H102*'TTS Design Calcs'!$C$309</f>
        <v>3364.3974355370424</v>
      </c>
      <c r="AG102" s="292">
        <f>H102*'TTS Design Calcs'!$C$317</f>
        <v>3364.3974355370424</v>
      </c>
      <c r="AH102" s="107">
        <f>H102*'TTS Design Calcs'!$C$326</f>
        <v>560.73290592284047</v>
      </c>
      <c r="AI102" s="302">
        <f>H102*'TTS Design Calcs'!$C$334</f>
        <v>560.73290592284047</v>
      </c>
      <c r="AJ102" s="304">
        <f>'TTS Design Calcs'!$C$381*H102</f>
        <v>971221.76263974688</v>
      </c>
      <c r="AK102" s="304">
        <f>'TTS Design Calcs'!$C$390*D102</f>
        <v>281013.57458600734</v>
      </c>
      <c r="AL102" s="305">
        <f t="shared" si="31"/>
        <v>1252235.3372257543</v>
      </c>
      <c r="AM102" s="452"/>
      <c r="AN102" s="452"/>
      <c r="AO102" s="452">
        <f t="shared" si="32"/>
        <v>22979.169749118068</v>
      </c>
    </row>
    <row r="103" spans="1:41" s="91" customFormat="1" ht="15" customHeight="1" x14ac:dyDescent="0.25">
      <c r="A103" s="106">
        <v>93</v>
      </c>
      <c r="B103" s="292">
        <v>949.3824840363618</v>
      </c>
      <c r="C103" s="292">
        <f t="shared" si="41"/>
        <v>649.3824840363618</v>
      </c>
      <c r="D103" s="292">
        <f t="shared" si="33"/>
        <v>1021.7823757486237</v>
      </c>
      <c r="E103" s="292">
        <f>3*U103/'TTS Design Calcs'!$I$97/'TTS Design Calcs'!$L$97/'TTS Design Calcs'!$O$97/'TTS Design Calcs'!$R$97</f>
        <v>72.399891712261976</v>
      </c>
      <c r="F103" s="292">
        <f t="shared" si="42"/>
        <v>735.68331053900909</v>
      </c>
      <c r="G103" s="292">
        <f t="shared" si="43"/>
        <v>286.09906520961465</v>
      </c>
      <c r="H103" s="292">
        <f t="shared" si="47"/>
        <v>735.68331053900909</v>
      </c>
      <c r="I103" s="292">
        <f t="shared" si="34"/>
        <v>573.83298222042708</v>
      </c>
      <c r="J103" s="292">
        <f t="shared" si="35"/>
        <v>161.850328318582</v>
      </c>
      <c r="K103" s="292">
        <v>0</v>
      </c>
      <c r="L103" s="292">
        <f t="shared" si="44"/>
        <v>859.93204743004173</v>
      </c>
      <c r="M103" s="107">
        <v>2446.0499999754161</v>
      </c>
      <c r="N103" s="292">
        <v>479</v>
      </c>
      <c r="O103" s="107">
        <f t="shared" si="48"/>
        <v>2449.8727065050671</v>
      </c>
      <c r="P103" s="411">
        <v>1600</v>
      </c>
      <c r="Q103" s="107">
        <v>2500</v>
      </c>
      <c r="R103" s="107">
        <f t="shared" si="45"/>
        <v>7272.727272727273</v>
      </c>
      <c r="S103" s="292">
        <f t="shared" si="46"/>
        <v>545.66539923954372</v>
      </c>
      <c r="T103" s="107">
        <f>O103*'TTS Design Calcs'!$C$147*D103*3.785*1440/454000</f>
        <v>62857.923750442103</v>
      </c>
      <c r="U103" s="107">
        <v>86224.795834501812</v>
      </c>
      <c r="V103" s="107">
        <f t="shared" si="36"/>
        <v>125715.84750088421</v>
      </c>
      <c r="W103" s="107">
        <f t="shared" si="37"/>
        <v>16994.92012511953</v>
      </c>
      <c r="X103" s="107">
        <f>O103*'TTS Design Calcs'!$C$224*D103*3.785*1440/454000</f>
        <v>15774.34562689666</v>
      </c>
      <c r="Y103" s="107">
        <f t="shared" si="38"/>
        <v>2878.8180769086407</v>
      </c>
      <c r="Z103" s="107">
        <f>'TTS Design Calcs'!$C$269*(D103)/365</f>
        <v>122.77607276852513</v>
      </c>
      <c r="AA103" s="306">
        <f t="shared" si="39"/>
        <v>22.406633280255836</v>
      </c>
      <c r="AB103" s="293">
        <f>(L103-$A$121)*1440*'TTS Design Calcs'!$C$284</f>
        <v>44.701391101710982</v>
      </c>
      <c r="AC103" s="293">
        <f t="shared" si="40"/>
        <v>8.1580038760622546</v>
      </c>
      <c r="AD103" s="107">
        <f>H103*'TTS Design Calcs'!$C$343</f>
        <v>9679.6655770705183</v>
      </c>
      <c r="AE103" s="107">
        <f>H103*'TTS Design Calcs'!$C$352</f>
        <v>3226.5551923568401</v>
      </c>
      <c r="AF103" s="292">
        <f>H103*'TTS Design Calcs'!$C$309</f>
        <v>3361.5068189243952</v>
      </c>
      <c r="AG103" s="292">
        <f>H103*'TTS Design Calcs'!$C$317</f>
        <v>3361.5068189243952</v>
      </c>
      <c r="AH103" s="107">
        <f>H103*'TTS Design Calcs'!$C$326</f>
        <v>560.25113648739921</v>
      </c>
      <c r="AI103" s="302">
        <f>H103*'TTS Design Calcs'!$C$334</f>
        <v>560.25113648739921</v>
      </c>
      <c r="AJ103" s="304">
        <f>'TTS Design Calcs'!$C$381*H103</f>
        <v>970387.31016632717</v>
      </c>
      <c r="AK103" s="304">
        <f>'TTS Design Calcs'!$C$390*D103</f>
        <v>280772.13387555571</v>
      </c>
      <c r="AL103" s="305">
        <f t="shared" si="31"/>
        <v>1251159.4440418829</v>
      </c>
      <c r="AM103" s="452"/>
      <c r="AN103" s="452"/>
      <c r="AO103" s="452">
        <f t="shared" si="32"/>
        <v>22943.142168911367</v>
      </c>
    </row>
    <row r="104" spans="1:41" s="91" customFormat="1" ht="15" customHeight="1" x14ac:dyDescent="0.25">
      <c r="A104" s="106">
        <v>94</v>
      </c>
      <c r="B104" s="292">
        <v>948.60117205713971</v>
      </c>
      <c r="C104" s="292">
        <f t="shared" si="41"/>
        <v>648.60117205713971</v>
      </c>
      <c r="D104" s="292">
        <f t="shared" si="33"/>
        <v>1020.9119769239444</v>
      </c>
      <c r="E104" s="292">
        <f>3*U104/'TTS Design Calcs'!$I$97/'TTS Design Calcs'!$L$97/'TTS Design Calcs'!$O$97/'TTS Design Calcs'!$R$97</f>
        <v>72.31080486680473</v>
      </c>
      <c r="F104" s="292">
        <f t="shared" si="42"/>
        <v>735.05662338523996</v>
      </c>
      <c r="G104" s="292">
        <f t="shared" si="43"/>
        <v>285.85535353870443</v>
      </c>
      <c r="H104" s="292">
        <f t="shared" si="47"/>
        <v>735.05662338523996</v>
      </c>
      <c r="I104" s="292">
        <f t="shared" si="34"/>
        <v>573.3441662404872</v>
      </c>
      <c r="J104" s="292">
        <f t="shared" si="35"/>
        <v>161.71245714475276</v>
      </c>
      <c r="K104" s="292">
        <v>0</v>
      </c>
      <c r="L104" s="292">
        <f t="shared" si="44"/>
        <v>859.19951977919163</v>
      </c>
      <c r="M104" s="107">
        <v>2444.1883595387671</v>
      </c>
      <c r="N104" s="292">
        <v>479</v>
      </c>
      <c r="O104" s="107">
        <f t="shared" si="48"/>
        <v>2448.141476686877</v>
      </c>
      <c r="P104" s="411">
        <v>1600</v>
      </c>
      <c r="Q104" s="107">
        <v>2500</v>
      </c>
      <c r="R104" s="107">
        <f t="shared" si="45"/>
        <v>7272.727272727273</v>
      </c>
      <c r="S104" s="292">
        <f t="shared" si="46"/>
        <v>545.66539923954372</v>
      </c>
      <c r="T104" s="107">
        <f>O104*'TTS Design Calcs'!$C$147*D104*3.785*1440/454000</f>
        <v>62759.997214227726</v>
      </c>
      <c r="U104" s="107">
        <v>86118.697677730815</v>
      </c>
      <c r="V104" s="107">
        <f t="shared" si="36"/>
        <v>125519.99442845545</v>
      </c>
      <c r="W104" s="107">
        <f t="shared" si="37"/>
        <v>16968.443691254161</v>
      </c>
      <c r="X104" s="107">
        <f>O104*'TTS Design Calcs'!$C$224*D104*3.785*1440/454000</f>
        <v>15749.770729475245</v>
      </c>
      <c r="Y104" s="107">
        <f t="shared" si="38"/>
        <v>2874.3331581292323</v>
      </c>
      <c r="Z104" s="107">
        <f>'TTS Design Calcs'!$C$269*(D104)/365</f>
        <v>122.67148675102001</v>
      </c>
      <c r="AA104" s="306">
        <f t="shared" si="39"/>
        <v>22.387546332061152</v>
      </c>
      <c r="AB104" s="293">
        <f>(L104-$A$121)*1440*'TTS Design Calcs'!$C$284</f>
        <v>44.64291078224408</v>
      </c>
      <c r="AC104" s="293">
        <f t="shared" si="40"/>
        <v>8.1473312177595449</v>
      </c>
      <c r="AD104" s="107">
        <f>H104*'TTS Design Calcs'!$C$343</f>
        <v>9671.4200154504142</v>
      </c>
      <c r="AE104" s="107">
        <f>H104*'TTS Design Calcs'!$C$352</f>
        <v>3223.8066718168056</v>
      </c>
      <c r="AF104" s="292">
        <f>H104*'TTS Design Calcs'!$C$309</f>
        <v>3358.6433406987117</v>
      </c>
      <c r="AG104" s="292">
        <f>H104*'TTS Design Calcs'!$C$317</f>
        <v>3358.6433406987117</v>
      </c>
      <c r="AH104" s="107">
        <f>H104*'TTS Design Calcs'!$C$326</f>
        <v>559.77389011645198</v>
      </c>
      <c r="AI104" s="302">
        <f>H104*'TTS Design Calcs'!$C$334</f>
        <v>559.77389011645198</v>
      </c>
      <c r="AJ104" s="304">
        <f>'TTS Design Calcs'!$C$381*H104</f>
        <v>969560.69190171512</v>
      </c>
      <c r="AK104" s="304">
        <f>'TTS Design Calcs'!$C$390*D104</f>
        <v>280532.95991725667</v>
      </c>
      <c r="AL104" s="305">
        <f t="shared" si="31"/>
        <v>1250093.6518189718</v>
      </c>
      <c r="AM104" s="452"/>
      <c r="AN104" s="452"/>
      <c r="AO104" s="452">
        <f t="shared" si="32"/>
        <v>22907.398983193118</v>
      </c>
    </row>
    <row r="105" spans="1:41" s="91" customFormat="1" ht="15" customHeight="1" x14ac:dyDescent="0.25">
      <c r="A105" s="106">
        <v>95</v>
      </c>
      <c r="B105" s="292">
        <v>947.83846270130311</v>
      </c>
      <c r="C105" s="292">
        <f t="shared" si="41"/>
        <v>647.83846270130311</v>
      </c>
      <c r="D105" s="292">
        <f t="shared" si="33"/>
        <v>1020.0617505797966</v>
      </c>
      <c r="E105" s="292">
        <f>3*U105/'TTS Design Calcs'!$I$97/'TTS Design Calcs'!$L$97/'TTS Design Calcs'!$O$97/'TTS Design Calcs'!$R$97</f>
        <v>72.22328787849348</v>
      </c>
      <c r="F105" s="292">
        <f t="shared" si="42"/>
        <v>734.44446041745346</v>
      </c>
      <c r="G105" s="292">
        <f t="shared" si="43"/>
        <v>285.61729016234307</v>
      </c>
      <c r="H105" s="292">
        <f t="shared" si="47"/>
        <v>734.44446041745346</v>
      </c>
      <c r="I105" s="292">
        <f t="shared" si="34"/>
        <v>572.8666791256137</v>
      </c>
      <c r="J105" s="292">
        <f t="shared" si="35"/>
        <v>161.57778129183976</v>
      </c>
      <c r="K105" s="292">
        <v>0</v>
      </c>
      <c r="L105" s="292">
        <f t="shared" si="44"/>
        <v>858.48396928795682</v>
      </c>
      <c r="M105" s="107">
        <v>2442.3498179842563</v>
      </c>
      <c r="N105" s="292">
        <v>479</v>
      </c>
      <c r="O105" s="107">
        <f t="shared" si="48"/>
        <v>2446.4316156691548</v>
      </c>
      <c r="P105" s="411">
        <v>1600</v>
      </c>
      <c r="Q105" s="107">
        <v>2500</v>
      </c>
      <c r="R105" s="107">
        <f t="shared" si="45"/>
        <v>7272.727272727273</v>
      </c>
      <c r="S105" s="292">
        <f t="shared" si="46"/>
        <v>545.66539923954372</v>
      </c>
      <c r="T105" s="107">
        <f>O105*'TTS Design Calcs'!$C$147*D105*3.785*1440/454000</f>
        <v>62663.932919111474</v>
      </c>
      <c r="U105" s="107">
        <v>86014.469145467563</v>
      </c>
      <c r="V105" s="107">
        <f t="shared" si="36"/>
        <v>125327.86583822295</v>
      </c>
      <c r="W105" s="107">
        <f t="shared" si="37"/>
        <v>16942.470752204212</v>
      </c>
      <c r="X105" s="107">
        <f>O105*'TTS Design Calcs'!$C$224*D105*3.785*1440/454000</f>
        <v>15725.663165891307</v>
      </c>
      <c r="Y105" s="107">
        <f t="shared" si="38"/>
        <v>2869.9335277751634</v>
      </c>
      <c r="Z105" s="107">
        <f>'TTS Design Calcs'!$C$269*(D105)/365</f>
        <v>122.5693246331597</v>
      </c>
      <c r="AA105" s="306">
        <f t="shared" si="39"/>
        <v>22.368901745551643</v>
      </c>
      <c r="AB105" s="293">
        <f>(L105-$A$121)*1440*'TTS Design Calcs'!$C$284</f>
        <v>44.585785810547037</v>
      </c>
      <c r="AC105" s="293">
        <f t="shared" si="40"/>
        <v>8.1369059104248347</v>
      </c>
      <c r="AD105" s="107">
        <f>H105*'TTS Design Calcs'!$C$343</f>
        <v>9663.3655540783075</v>
      </c>
      <c r="AE105" s="107">
        <f>H105*'TTS Design Calcs'!$C$352</f>
        <v>3221.1218513594367</v>
      </c>
      <c r="AF105" s="292">
        <f>H105*'TTS Design Calcs'!$C$309</f>
        <v>3355.8462268305179</v>
      </c>
      <c r="AG105" s="292">
        <f>H105*'TTS Design Calcs'!$C$317</f>
        <v>3355.8462268305179</v>
      </c>
      <c r="AH105" s="107">
        <f>H105*'TTS Design Calcs'!$C$326</f>
        <v>559.30770447175303</v>
      </c>
      <c r="AI105" s="302">
        <f>H105*'TTS Design Calcs'!$C$334</f>
        <v>559.30770447175303</v>
      </c>
      <c r="AJ105" s="304">
        <f>'TTS Design Calcs'!$C$381*H105</f>
        <v>968753.23145347065</v>
      </c>
      <c r="AK105" s="304">
        <f>'TTS Design Calcs'!$C$390*D105</f>
        <v>280299.3290868671</v>
      </c>
      <c r="AL105" s="305">
        <f t="shared" si="31"/>
        <v>1249052.5605403378</v>
      </c>
      <c r="AM105" s="452"/>
      <c r="AN105" s="452"/>
      <c r="AO105" s="452">
        <f t="shared" si="32"/>
        <v>22872.335515475686</v>
      </c>
    </row>
    <row r="106" spans="1:41" s="91" customFormat="1" ht="15" customHeight="1" x14ac:dyDescent="0.25">
      <c r="A106" s="106">
        <v>96</v>
      </c>
      <c r="B106" s="292">
        <v>947.08168972987085</v>
      </c>
      <c r="C106" s="292">
        <f t="shared" si="41"/>
        <v>647.08168972987085</v>
      </c>
      <c r="D106" s="292">
        <f t="shared" si="33"/>
        <v>1019.2180338056587</v>
      </c>
      <c r="E106" s="292">
        <f>3*U106/'TTS Design Calcs'!$I$97/'TTS Design Calcs'!$L$97/'TTS Design Calcs'!$O$97/'TTS Design Calcs'!$R$97</f>
        <v>72.136344075787804</v>
      </c>
      <c r="F106" s="292">
        <f t="shared" si="42"/>
        <v>733.8369843400742</v>
      </c>
      <c r="G106" s="292">
        <f t="shared" si="43"/>
        <v>285.38104946558445</v>
      </c>
      <c r="H106" s="292">
        <f t="shared" si="47"/>
        <v>733.8369843400742</v>
      </c>
      <c r="I106" s="292">
        <f t="shared" si="34"/>
        <v>572.39284778525791</v>
      </c>
      <c r="J106" s="292">
        <f t="shared" si="35"/>
        <v>161.44413655481628</v>
      </c>
      <c r="K106" s="292">
        <v>0</v>
      </c>
      <c r="L106" s="292">
        <f t="shared" si="44"/>
        <v>857.77389725084231</v>
      </c>
      <c r="M106" s="107">
        <v>2440.5201092342759</v>
      </c>
      <c r="N106" s="292">
        <v>479</v>
      </c>
      <c r="O106" s="107">
        <f t="shared" si="48"/>
        <v>2444.7298678173788</v>
      </c>
      <c r="P106" s="411">
        <v>1600</v>
      </c>
      <c r="Q106" s="107">
        <v>2500</v>
      </c>
      <c r="R106" s="107">
        <f t="shared" si="45"/>
        <v>7272.727272727273</v>
      </c>
      <c r="S106" s="292">
        <f t="shared" si="46"/>
        <v>545.66539923954372</v>
      </c>
      <c r="T106" s="107">
        <f>O106*'TTS Design Calcs'!$C$147*D106*3.785*1440/454000</f>
        <v>62568.548889573256</v>
      </c>
      <c r="U106" s="107">
        <v>85910.923249747619</v>
      </c>
      <c r="V106" s="107">
        <f t="shared" si="36"/>
        <v>125137.09777914651</v>
      </c>
      <c r="W106" s="107">
        <f t="shared" si="37"/>
        <v>16916.681736810544</v>
      </c>
      <c r="X106" s="107">
        <f>O106*'TTS Design Calcs'!$C$224*D106*3.785*1440/454000</f>
        <v>15701.726316573857</v>
      </c>
      <c r="Y106" s="107">
        <f t="shared" si="38"/>
        <v>2865.5650527747289</v>
      </c>
      <c r="Z106" s="107">
        <f>'TTS Design Calcs'!$C$269*(D106)/365</f>
        <v>122.46794469696567</v>
      </c>
      <c r="AA106" s="306">
        <f t="shared" si="39"/>
        <v>22.350399907196234</v>
      </c>
      <c r="AB106" s="293">
        <f>(L106-$A$121)*1440*'TTS Design Calcs'!$C$284</f>
        <v>44.52909820356485</v>
      </c>
      <c r="AC106" s="293">
        <f t="shared" si="40"/>
        <v>8.126560422150586</v>
      </c>
      <c r="AD106" s="107">
        <f>H106*'TTS Design Calcs'!$C$343</f>
        <v>9655.3727599087706</v>
      </c>
      <c r="AE106" s="107">
        <f>H106*'TTS Design Calcs'!$C$352</f>
        <v>3218.4575866362575</v>
      </c>
      <c r="AF106" s="292">
        <f>H106*'TTS Design Calcs'!$C$309</f>
        <v>3353.0705284461851</v>
      </c>
      <c r="AG106" s="292">
        <f>H106*'TTS Design Calcs'!$C$317</f>
        <v>3353.0705284461851</v>
      </c>
      <c r="AH106" s="107">
        <f>H106*'TTS Design Calcs'!$C$326</f>
        <v>558.84508807436418</v>
      </c>
      <c r="AI106" s="302">
        <f>H106*'TTS Design Calcs'!$C$334</f>
        <v>558.84508807436418</v>
      </c>
      <c r="AJ106" s="304">
        <f>'TTS Design Calcs'!$C$381*H106</f>
        <v>967951.9531476103</v>
      </c>
      <c r="AK106" s="304">
        <f>'TTS Design Calcs'!$C$390*D106</f>
        <v>280067.48699927214</v>
      </c>
      <c r="AL106" s="305">
        <f>SUM(AJ106,AK106)</f>
        <v>1248019.4401468826</v>
      </c>
      <c r="AM106" s="452"/>
      <c r="AN106" s="452"/>
      <c r="AO106" s="452">
        <f t="shared" si="32"/>
        <v>22837.52034469424</v>
      </c>
    </row>
    <row r="107" spans="1:41" s="91" customFormat="1" ht="15" customHeight="1" x14ac:dyDescent="0.25">
      <c r="A107" s="106">
        <v>97</v>
      </c>
      <c r="B107" s="292">
        <v>946.33901212986575</v>
      </c>
      <c r="C107" s="292">
        <f t="shared" si="41"/>
        <v>646.33901212986575</v>
      </c>
      <c r="D107" s="292">
        <f t="shared" si="33"/>
        <v>1018.3895952076233</v>
      </c>
      <c r="E107" s="292">
        <f>3*U107/'TTS Design Calcs'!$I$97/'TTS Design Calcs'!$L$97/'TTS Design Calcs'!$O$97/'TTS Design Calcs'!$R$97</f>
        <v>72.050583077757523</v>
      </c>
      <c r="F107" s="292">
        <f t="shared" si="42"/>
        <v>733.24050854948871</v>
      </c>
      <c r="G107" s="292">
        <f t="shared" si="43"/>
        <v>285.14908665813454</v>
      </c>
      <c r="H107" s="292">
        <f t="shared" si="47"/>
        <v>733.24050854948882</v>
      </c>
      <c r="I107" s="292">
        <f t="shared" si="34"/>
        <v>571.92759666860127</v>
      </c>
      <c r="J107" s="292">
        <f t="shared" si="35"/>
        <v>161.31291188088755</v>
      </c>
      <c r="K107" s="292">
        <v>0</v>
      </c>
      <c r="L107" s="292">
        <f t="shared" si="44"/>
        <v>857.07668332673575</v>
      </c>
      <c r="M107" s="107">
        <v>2438.7070709092691</v>
      </c>
      <c r="N107" s="292">
        <v>479</v>
      </c>
      <c r="O107" s="107">
        <f t="shared" si="48"/>
        <v>2443.0435167059595</v>
      </c>
      <c r="P107" s="411">
        <v>1600</v>
      </c>
      <c r="Q107" s="107">
        <v>2500</v>
      </c>
      <c r="R107" s="107">
        <f t="shared" si="45"/>
        <v>7272.727272727273</v>
      </c>
      <c r="S107" s="292">
        <f t="shared" si="46"/>
        <v>545.66539923954383</v>
      </c>
      <c r="T107" s="107">
        <f>O107*'TTS Design Calcs'!$C$147*D107*3.785*1440/454000</f>
        <v>62474.567955263868</v>
      </c>
      <c r="U107" s="107">
        <v>85808.786017621474</v>
      </c>
      <c r="V107" s="107">
        <f t="shared" si="36"/>
        <v>124949.13591052774</v>
      </c>
      <c r="W107" s="107">
        <f t="shared" si="37"/>
        <v>16891.272076793561</v>
      </c>
      <c r="X107" s="107">
        <f>O107*'TTS Design Calcs'!$C$224*D107*3.785*1440/454000</f>
        <v>15678.141577344788</v>
      </c>
      <c r="Y107" s="107">
        <f t="shared" si="38"/>
        <v>2861.260837865424</v>
      </c>
      <c r="Z107" s="107">
        <f>'TTS Design Calcs'!$C$269*(D107)/365</f>
        <v>122.36840056701128</v>
      </c>
      <c r="AA107" s="306">
        <f t="shared" si="39"/>
        <v>22.332233103479556</v>
      </c>
      <c r="AB107" s="293">
        <f>(L107-$A$121)*1440*'TTS Design Calcs'!$C$284</f>
        <v>44.473437106033295</v>
      </c>
      <c r="AC107" s="293">
        <f t="shared" si="40"/>
        <v>8.1164022718510758</v>
      </c>
      <c r="AD107" s="107">
        <f>H107*'TTS Design Calcs'!$C$343</f>
        <v>9647.5247007031667</v>
      </c>
      <c r="AE107" s="107">
        <f>H107*'TTS Design Calcs'!$C$352</f>
        <v>3215.841566901056</v>
      </c>
      <c r="AF107" s="292">
        <f>H107*'TTS Design Calcs'!$C$309</f>
        <v>3350.3450929107412</v>
      </c>
      <c r="AG107" s="292">
        <f>H107*'TTS Design Calcs'!$C$317</f>
        <v>3350.3450929107412</v>
      </c>
      <c r="AH107" s="107">
        <f>H107*'TTS Design Calcs'!$C$326</f>
        <v>558.39084881845679</v>
      </c>
      <c r="AI107" s="302">
        <f>H107*'TTS Design Calcs'!$C$334</f>
        <v>558.39084881845679</v>
      </c>
      <c r="AJ107" s="304">
        <f>'TTS Design Calcs'!$C$381*H107</f>
        <v>967165.18453438533</v>
      </c>
      <c r="AK107" s="304">
        <f>'TTS Design Calcs'!$C$390*D107</f>
        <v>279839.84315017477</v>
      </c>
      <c r="AL107" s="305">
        <f t="shared" ref="AL107:AL110" si="49">SUM(AJ107,AK107)</f>
        <v>1247005.02768456</v>
      </c>
      <c r="AM107" s="452"/>
      <c r="AN107" s="452"/>
      <c r="AO107" s="452">
        <f t="shared" si="32"/>
        <v>22803.21730367131</v>
      </c>
    </row>
    <row r="108" spans="1:41" s="91" customFormat="1" ht="15" customHeight="1" x14ac:dyDescent="0.25">
      <c r="A108" s="106">
        <v>98</v>
      </c>
      <c r="B108" s="292">
        <v>945.60763363636477</v>
      </c>
      <c r="C108" s="292">
        <f t="shared" si="41"/>
        <v>645.60763363636477</v>
      </c>
      <c r="D108" s="292">
        <f t="shared" si="33"/>
        <v>1017.5734104269638</v>
      </c>
      <c r="E108" s="292">
        <f>3*U108/'TTS Design Calcs'!$I$97/'TTS Design Calcs'!$L$97/'TTS Design Calcs'!$O$97/'TTS Design Calcs'!$R$97</f>
        <v>71.965776790599108</v>
      </c>
      <c r="F108" s="292">
        <f t="shared" si="42"/>
        <v>732.65285550741396</v>
      </c>
      <c r="G108" s="292">
        <f t="shared" si="43"/>
        <v>284.92055491954989</v>
      </c>
      <c r="H108" s="292">
        <f t="shared" si="47"/>
        <v>732.65285550741396</v>
      </c>
      <c r="I108" s="292">
        <f t="shared" si="34"/>
        <v>571.46922729578296</v>
      </c>
      <c r="J108" s="292">
        <f t="shared" si="35"/>
        <v>161.183628211631</v>
      </c>
      <c r="K108" s="292">
        <v>0</v>
      </c>
      <c r="L108" s="292">
        <f t="shared" si="44"/>
        <v>856.38978221533284</v>
      </c>
      <c r="M108" s="107">
        <v>2436.9072392073413</v>
      </c>
      <c r="N108" s="292">
        <v>479</v>
      </c>
      <c r="O108" s="107">
        <f t="shared" si="48"/>
        <v>2441.369344342736</v>
      </c>
      <c r="P108" s="411">
        <v>1600</v>
      </c>
      <c r="Q108" s="107">
        <v>2500</v>
      </c>
      <c r="R108" s="107">
        <f t="shared" si="45"/>
        <v>7272.727272727273</v>
      </c>
      <c r="S108" s="292">
        <f t="shared" si="46"/>
        <v>545.66539923954372</v>
      </c>
      <c r="T108" s="107">
        <f>O108*'TTS Design Calcs'!$C$147*D108*3.785*1440/454000</f>
        <v>62381.71958176756</v>
      </c>
      <c r="U108" s="107">
        <v>85707.785800317593</v>
      </c>
      <c r="V108" s="107">
        <f t="shared" si="36"/>
        <v>124763.43916353512</v>
      </c>
      <c r="W108" s="107">
        <f t="shared" si="37"/>
        <v>16866.168627663079</v>
      </c>
      <c r="X108" s="107">
        <f>O108*'TTS Design Calcs'!$C$224*D108*3.785*1440/454000</f>
        <v>15654.841056948331</v>
      </c>
      <c r="Y108" s="107">
        <f t="shared" si="38"/>
        <v>2857.0084928930705</v>
      </c>
      <c r="Z108" s="107">
        <f>'TTS Design Calcs'!$C$269*(D108)/365</f>
        <v>122.27032884019233</v>
      </c>
      <c r="AA108" s="306">
        <f t="shared" si="39"/>
        <v>22.3143350133351</v>
      </c>
      <c r="AB108" s="293">
        <f>(L108-$A$121)*1440*'TTS Design Calcs'!$C$284</f>
        <v>44.418599317465997</v>
      </c>
      <c r="AC108" s="293">
        <f t="shared" si="40"/>
        <v>8.106394375437544</v>
      </c>
      <c r="AD108" s="107">
        <f>H108*'TTS Design Calcs'!$C$343</f>
        <v>9639.7927257607607</v>
      </c>
      <c r="AE108" s="107">
        <f>H108*'TTS Design Calcs'!$C$352</f>
        <v>3213.2642419202548</v>
      </c>
      <c r="AF108" s="292">
        <f>H108*'TTS Design Calcs'!$C$309</f>
        <v>3347.6599705492604</v>
      </c>
      <c r="AG108" s="292">
        <f>H108*'TTS Design Calcs'!$C$317</f>
        <v>3347.6599705492604</v>
      </c>
      <c r="AH108" s="107">
        <f>H108*'TTS Design Calcs'!$C$326</f>
        <v>557.94332842487677</v>
      </c>
      <c r="AI108" s="302">
        <f>H108*'TTS Design Calcs'!$C$334</f>
        <v>557.94332842487677</v>
      </c>
      <c r="AJ108" s="304">
        <f>'TTS Design Calcs'!$C$381*H108</f>
        <v>966390.0533785728</v>
      </c>
      <c r="AK108" s="304">
        <f>'TTS Design Calcs'!$C$390*D108</f>
        <v>279615.56648623775</v>
      </c>
      <c r="AL108" s="305">
        <f t="shared" si="49"/>
        <v>1246005.6198648105</v>
      </c>
      <c r="AM108" s="452"/>
      <c r="AN108" s="452"/>
      <c r="AO108" s="452">
        <f t="shared" si="32"/>
        <v>22769.327647345159</v>
      </c>
    </row>
    <row r="109" spans="1:41" s="91" customFormat="1" ht="15" customHeight="1" x14ac:dyDescent="0.25">
      <c r="A109" s="106">
        <v>99</v>
      </c>
      <c r="B109" s="292">
        <v>944.88764225974444</v>
      </c>
      <c r="C109" s="292">
        <f t="shared" si="41"/>
        <v>644.88764225974444</v>
      </c>
      <c r="D109" s="292">
        <f t="shared" si="33"/>
        <v>1016.7696225821537</v>
      </c>
      <c r="E109" s="292">
        <f>3*U109/'TTS Design Calcs'!$I$97/'TTS Design Calcs'!$L$97/'TTS Design Calcs'!$O$97/'TTS Design Calcs'!$R$97</f>
        <v>71.881980322409305</v>
      </c>
      <c r="F109" s="292">
        <f t="shared" si="42"/>
        <v>732.0741282591506</v>
      </c>
      <c r="G109" s="292">
        <f t="shared" si="43"/>
        <v>284.69549432300306</v>
      </c>
      <c r="H109" s="292">
        <f t="shared" si="47"/>
        <v>732.07412825915071</v>
      </c>
      <c r="I109" s="292">
        <f t="shared" si="34"/>
        <v>571.0178200421376</v>
      </c>
      <c r="J109" s="292">
        <f t="shared" si="35"/>
        <v>161.05630821701311</v>
      </c>
      <c r="K109" s="292">
        <v>0</v>
      </c>
      <c r="L109" s="292">
        <f t="shared" si="44"/>
        <v>855.7133143651406</v>
      </c>
      <c r="M109" s="107">
        <v>2435.1230992882179</v>
      </c>
      <c r="N109" s="292">
        <v>479</v>
      </c>
      <c r="O109" s="107">
        <f t="shared" si="48"/>
        <v>2439.7096644223134</v>
      </c>
      <c r="P109" s="411">
        <v>1600</v>
      </c>
      <c r="Q109" s="107">
        <v>2500</v>
      </c>
      <c r="R109" s="107">
        <f t="shared" si="45"/>
        <v>7272.727272727273</v>
      </c>
      <c r="S109" s="292">
        <f t="shared" si="46"/>
        <v>545.66539923954383</v>
      </c>
      <c r="T109" s="107">
        <f>O109*'TTS Design Calcs'!$C$147*D109*3.785*1440/454000</f>
        <v>62290.06931534248</v>
      </c>
      <c r="U109" s="107">
        <v>85607.988228934002</v>
      </c>
      <c r="V109" s="107">
        <f t="shared" si="36"/>
        <v>124580.13863068496</v>
      </c>
      <c r="W109" s="107">
        <f t="shared" si="37"/>
        <v>16841.389111185188</v>
      </c>
      <c r="X109" s="107">
        <f>O109*'TTS Design Calcs'!$C$224*D109*3.785*1440/454000</f>
        <v>15631.841204374039</v>
      </c>
      <c r="Y109" s="107">
        <f t="shared" si="38"/>
        <v>2852.8110197982619</v>
      </c>
      <c r="Z109" s="107">
        <f>'TTS Design Calcs'!$C$269*(D109)/365</f>
        <v>122.17374671344294</v>
      </c>
      <c r="AA109" s="306">
        <f t="shared" si="39"/>
        <v>22.296708775203335</v>
      </c>
      <c r="AB109" s="293">
        <f>(L109-$A$121)*1440*'TTS Design Calcs'!$C$284</f>
        <v>44.364594453700889</v>
      </c>
      <c r="AC109" s="293">
        <f t="shared" si="40"/>
        <v>8.0965384878004123</v>
      </c>
      <c r="AD109" s="107">
        <f>H109*'TTS Design Calcs'!$C$343</f>
        <v>9632.1781908878384</v>
      </c>
      <c r="AE109" s="107">
        <f>H109*'TTS Design Calcs'!$C$352</f>
        <v>3210.7260636292804</v>
      </c>
      <c r="AF109" s="292">
        <f>H109*'TTS Design Calcs'!$C$309</f>
        <v>3345.0156321995037</v>
      </c>
      <c r="AG109" s="292">
        <f>H109*'TTS Design Calcs'!$C$317</f>
        <v>3345.0156321995037</v>
      </c>
      <c r="AH109" s="107">
        <f>H109*'TTS Design Calcs'!$C$326</f>
        <v>557.50260536658402</v>
      </c>
      <c r="AI109" s="302">
        <f>H109*'TTS Design Calcs'!$C$334</f>
        <v>557.50260536658402</v>
      </c>
      <c r="AJ109" s="304">
        <f>'TTS Design Calcs'!$C$381*H109</f>
        <v>965626.69559986959</v>
      </c>
      <c r="AK109" s="304">
        <f>'TTS Design Calcs'!$C$390*D109</f>
        <v>279394.69633450394</v>
      </c>
      <c r="AL109" s="305">
        <f t="shared" si="49"/>
        <v>1245021.3919343734</v>
      </c>
      <c r="AM109" s="452"/>
      <c r="AN109" s="452"/>
      <c r="AO109" s="452">
        <f t="shared" si="32"/>
        <v>22735.875300100008</v>
      </c>
    </row>
    <row r="110" spans="1:41" s="91" customFormat="1" ht="12.5" x14ac:dyDescent="0.25">
      <c r="A110" s="106">
        <v>100</v>
      </c>
      <c r="B110" s="292">
        <v>944.18323706492993</v>
      </c>
      <c r="C110" s="292">
        <f t="shared" si="41"/>
        <v>644.18323706492993</v>
      </c>
      <c r="D110" s="292">
        <f t="shared" si="33"/>
        <v>1015.9826891717901</v>
      </c>
      <c r="E110" s="292">
        <f>3*U110/'TTS Design Calcs'!$I$97/'TTS Design Calcs'!$L$97/'TTS Design Calcs'!$O$97/'TTS Design Calcs'!$R$97</f>
        <v>71.799452106860201</v>
      </c>
      <c r="F110" s="292">
        <f t="shared" si="42"/>
        <v>731.5075362036888</v>
      </c>
      <c r="G110" s="292">
        <f t="shared" si="43"/>
        <v>284.47515296810127</v>
      </c>
      <c r="H110" s="292">
        <f t="shared" si="47"/>
        <v>731.5075362036888</v>
      </c>
      <c r="I110" s="292">
        <f t="shared" si="34"/>
        <v>570.57587823887729</v>
      </c>
      <c r="J110" s="292">
        <f t="shared" si="35"/>
        <v>160.93165796481151</v>
      </c>
      <c r="K110" s="292">
        <v>0</v>
      </c>
      <c r="L110" s="292">
        <f t="shared" si="44"/>
        <v>855.05103120697856</v>
      </c>
      <c r="M110" s="107">
        <v>2433.356403646445</v>
      </c>
      <c r="N110" s="292">
        <v>479</v>
      </c>
      <c r="O110" s="107">
        <f t="shared" si="48"/>
        <v>2438.0661036793431</v>
      </c>
      <c r="P110" s="411">
        <v>1600</v>
      </c>
      <c r="Q110" s="107">
        <v>2500</v>
      </c>
      <c r="R110" s="107">
        <f t="shared" si="45"/>
        <v>7272.727272727273</v>
      </c>
      <c r="S110" s="292">
        <f t="shared" si="46"/>
        <v>545.66539923954383</v>
      </c>
      <c r="T110" s="107">
        <f>O110*'TTS Design Calcs'!$C$147*D110*3.785*1440/454000</f>
        <v>62199.929124078633</v>
      </c>
      <c r="U110" s="107">
        <v>85509.701085569352</v>
      </c>
      <c r="V110" s="107">
        <f t="shared" si="36"/>
        <v>124399.85824815727</v>
      </c>
      <c r="W110" s="107">
        <f t="shared" si="37"/>
        <v>16817.017874287925</v>
      </c>
      <c r="X110" s="107">
        <f>O110*'TTS Design Calcs'!$C$224*D110*3.785*1440/454000</f>
        <v>15609.220308756876</v>
      </c>
      <c r="Y110" s="107">
        <f t="shared" si="38"/>
        <v>2848.6827063481301</v>
      </c>
      <c r="Z110" s="107">
        <f>'TTS Design Calcs'!$C$269*(D110)/365</f>
        <v>122.07918979413417</v>
      </c>
      <c r="AA110" s="306">
        <f t="shared" si="39"/>
        <v>22.279452137429484</v>
      </c>
      <c r="AB110" s="293">
        <f>(L110-$A$121)*1440*'TTS Design Calcs'!$C$284</f>
        <v>44.311722004965446</v>
      </c>
      <c r="AC110" s="293">
        <f t="shared" si="40"/>
        <v>8.0868892659061942</v>
      </c>
      <c r="AD110" s="107">
        <f>H110*'TTS Design Calcs'!$C$343</f>
        <v>9624.7233233695333</v>
      </c>
      <c r="AE110" s="107">
        <f>H110*'TTS Design Calcs'!$C$352</f>
        <v>3208.2411077898455</v>
      </c>
      <c r="AF110" s="292">
        <f>H110*'TTS Design Calcs'!$C$309</f>
        <v>3342.4267423460856</v>
      </c>
      <c r="AG110" s="292">
        <f>H110*'TTS Design Calcs'!$C$317</f>
        <v>3342.4267423460856</v>
      </c>
      <c r="AH110" s="107">
        <f>H110*'TTS Design Calcs'!$C$326</f>
        <v>557.07112372434756</v>
      </c>
      <c r="AI110" s="302">
        <f>H110*'TTS Design Calcs'!$C$334</f>
        <v>557.07112372434756</v>
      </c>
      <c r="AJ110" s="304">
        <f>'TTS Design Calcs'!$C$381*H110</f>
        <v>964879.34448725777</v>
      </c>
      <c r="AK110" s="304">
        <f>'TTS Design Calcs'!$C$390*D110</f>
        <v>279178.45755598333</v>
      </c>
      <c r="AL110" s="305">
        <f t="shared" si="49"/>
        <v>1244057.802043241</v>
      </c>
      <c r="AM110" s="452"/>
      <c r="AN110" s="452"/>
      <c r="AO110" s="452">
        <f t="shared" si="32"/>
        <v>22702.974130288701</v>
      </c>
    </row>
    <row r="111" spans="1:41" s="91" customFormat="1" ht="13" x14ac:dyDescent="0.3">
      <c r="A111" s="294" t="s">
        <v>335</v>
      </c>
      <c r="B111" s="295">
        <f t="shared" ref="B111" si="50">AVERAGE(B25:B110)</f>
        <v>1015.8747937131758</v>
      </c>
      <c r="C111" s="295">
        <f t="shared" ref="C111" si="51">AVERAGE(C25:C110)</f>
        <v>715.87479371317602</v>
      </c>
      <c r="D111" s="295">
        <f t="shared" ref="D111" si="52">AVERAGE(D25:D110)</f>
        <v>1094.8772345573764</v>
      </c>
      <c r="E111" s="295">
        <f t="shared" ref="E111" si="53">AVERAGE(E25:E110)</f>
        <v>79.00244084419981</v>
      </c>
      <c r="F111" s="295">
        <f t="shared" ref="F111" si="54">AVERAGE(F25:F110)</f>
        <v>788.3116088813108</v>
      </c>
      <c r="G111" s="295">
        <f t="shared" ref="G111" si="55">AVERAGE(G25:G110)</f>
        <v>306.56562567606545</v>
      </c>
      <c r="H111" s="295">
        <f t="shared" ref="H111" si="56">AVERAGE(H25:H110)</f>
        <v>788.31160888131092</v>
      </c>
      <c r="I111" s="295">
        <f t="shared" ref="I111" si="57">AVERAGE(I25:I110)</f>
        <v>614.88305492742234</v>
      </c>
      <c r="J111" s="295">
        <f t="shared" ref="J111:P111" si="58">AVERAGE(J25:J110)</f>
        <v>173.42855395388841</v>
      </c>
      <c r="K111" s="295">
        <f t="shared" ref="K111" si="59">AVERAGE(K16:K110)</f>
        <v>0</v>
      </c>
      <c r="L111" s="295">
        <f t="shared" si="58"/>
        <v>921.44868060348801</v>
      </c>
      <c r="M111" s="295">
        <f t="shared" si="58"/>
        <v>2555.6578247404573</v>
      </c>
      <c r="N111" s="295">
        <f t="shared" ref="N111" si="60">AVERAGE(N25:N110)</f>
        <v>479</v>
      </c>
      <c r="O111" s="295">
        <f t="shared" si="58"/>
        <v>2551.5312497263626</v>
      </c>
      <c r="P111" s="295">
        <f t="shared" si="58"/>
        <v>1600</v>
      </c>
      <c r="Q111" s="295">
        <f>AVERAGE(Q25:Q110)</f>
        <v>2500</v>
      </c>
      <c r="R111" s="295">
        <f>AVERAGE(R25:R110)</f>
        <v>7272.727272727283</v>
      </c>
      <c r="S111" s="295">
        <f>AVERAGE(S25:S110)</f>
        <v>545.66539923954394</v>
      </c>
      <c r="T111" s="295">
        <f t="shared" ref="T111:AL111" si="61">AVERAGE(T25:T110)</f>
        <v>70321.641510893722</v>
      </c>
      <c r="U111" s="295">
        <f t="shared" si="61"/>
        <v>94088.114928281459</v>
      </c>
      <c r="V111" s="295">
        <f t="shared" si="61"/>
        <v>140643.28302178744</v>
      </c>
      <c r="W111" s="295">
        <f>AVERAGE(W25:W110)</f>
        <v>19012.888260352749</v>
      </c>
      <c r="X111" s="295">
        <f t="shared" si="61"/>
        <v>17647.383369638563</v>
      </c>
      <c r="Y111" s="295">
        <f t="shared" si="61"/>
        <v>3220.64746495904</v>
      </c>
      <c r="Z111" s="295">
        <f t="shared" si="61"/>
        <v>131.55905818411648</v>
      </c>
      <c r="AA111" s="295">
        <f t="shared" si="61"/>
        <v>24.009528118601263</v>
      </c>
      <c r="AB111" s="295">
        <f t="shared" si="61"/>
        <v>49.612485387826624</v>
      </c>
      <c r="AC111" s="295">
        <f t="shared" si="61"/>
        <v>9.0542785832783501</v>
      </c>
      <c r="AD111" s="295">
        <f t="shared" si="61"/>
        <v>10372.11614723574</v>
      </c>
      <c r="AE111" s="295">
        <f t="shared" si="61"/>
        <v>3457.3720490785809</v>
      </c>
      <c r="AF111" s="295">
        <f t="shared" si="61"/>
        <v>3601.9776590422957</v>
      </c>
      <c r="AG111" s="295">
        <f t="shared" si="61"/>
        <v>3601.9776590422957</v>
      </c>
      <c r="AH111" s="295">
        <f t="shared" si="61"/>
        <v>600.32960984038255</v>
      </c>
      <c r="AI111" s="295">
        <f t="shared" si="61"/>
        <v>600.32960984038255</v>
      </c>
      <c r="AJ111" s="295">
        <f t="shared" si="61"/>
        <v>1039805.5396346563</v>
      </c>
      <c r="AK111" s="295">
        <f t="shared" si="61"/>
        <v>300857.62367276364</v>
      </c>
      <c r="AL111" s="295">
        <f t="shared" si="61"/>
        <v>1340663.1633074204</v>
      </c>
      <c r="AM111" s="452"/>
      <c r="AN111" s="452"/>
      <c r="AO111" s="452"/>
    </row>
    <row r="112" spans="1:41" s="91" customFormat="1" ht="13" x14ac:dyDescent="0.3">
      <c r="A112" s="294" t="s">
        <v>336</v>
      </c>
      <c r="B112" s="295">
        <f>MAX(B16:B110)</f>
        <v>1189.0939516067092</v>
      </c>
      <c r="C112" s="295">
        <f t="shared" ref="C112:AL112" si="62">MAX(C16:C110)</f>
        <v>889.0939516067092</v>
      </c>
      <c r="D112" s="295">
        <f t="shared" si="62"/>
        <v>1285.2424918786819</v>
      </c>
      <c r="E112" s="295">
        <f t="shared" si="62"/>
        <v>96.148540271972749</v>
      </c>
      <c r="F112" s="295">
        <f t="shared" si="62"/>
        <v>925.37459415265096</v>
      </c>
      <c r="G112" s="295">
        <f t="shared" si="62"/>
        <v>359.86789772603095</v>
      </c>
      <c r="H112" s="295">
        <f t="shared" si="62"/>
        <v>925.37459415265096</v>
      </c>
      <c r="I112" s="295">
        <f t="shared" si="62"/>
        <v>721.7921834390678</v>
      </c>
      <c r="J112" s="295">
        <f t="shared" si="62"/>
        <v>203.58241071358316</v>
      </c>
      <c r="K112" s="295">
        <f t="shared" si="62"/>
        <v>0</v>
      </c>
      <c r="L112" s="295">
        <f t="shared" si="62"/>
        <v>1081.6600811650987</v>
      </c>
      <c r="M112" s="295">
        <f t="shared" si="62"/>
        <v>2811.4486240944821</v>
      </c>
      <c r="N112" s="295">
        <f t="shared" ref="N112" si="63">MAX(N16:N110)</f>
        <v>479</v>
      </c>
      <c r="O112" s="295">
        <f t="shared" si="62"/>
        <v>2788.1492617051895</v>
      </c>
      <c r="P112" s="295">
        <f t="shared" si="62"/>
        <v>1600</v>
      </c>
      <c r="Q112" s="295">
        <f t="shared" si="62"/>
        <v>2500</v>
      </c>
      <c r="R112" s="295">
        <f>MAX(R16:R110)</f>
        <v>7272.727272727273</v>
      </c>
      <c r="S112" s="295">
        <f t="shared" ref="S112" si="64">MAX(S16:S110)</f>
        <v>545.66539923954383</v>
      </c>
      <c r="T112" s="295">
        <f t="shared" si="62"/>
        <v>89982.737260596492</v>
      </c>
      <c r="U112" s="295">
        <f t="shared" si="62"/>
        <v>114508.29633398648</v>
      </c>
      <c r="V112" s="295">
        <f t="shared" si="62"/>
        <v>179965.47452119298</v>
      </c>
      <c r="W112" s="295">
        <f t="shared" si="62"/>
        <v>24328.6660000872</v>
      </c>
      <c r="X112" s="295">
        <f t="shared" si="62"/>
        <v>22581.382160159214</v>
      </c>
      <c r="Y112" s="295">
        <f t="shared" si="62"/>
        <v>4121.1022442290569</v>
      </c>
      <c r="Z112" s="295">
        <f t="shared" si="62"/>
        <v>154.43310577018448</v>
      </c>
      <c r="AA112" s="295">
        <f t="shared" si="62"/>
        <v>28.184041803058669</v>
      </c>
      <c r="AB112" s="295">
        <f t="shared" si="62"/>
        <v>62.402738255702033</v>
      </c>
      <c r="AC112" s="295">
        <f t="shared" si="62"/>
        <v>11.38849973166562</v>
      </c>
      <c r="AD112" s="295">
        <f t="shared" si="62"/>
        <v>12175.506058921343</v>
      </c>
      <c r="AE112" s="295">
        <f t="shared" si="62"/>
        <v>4058.5020196404485</v>
      </c>
      <c r="AF112" s="295">
        <f t="shared" si="62"/>
        <v>4228.2500686667281</v>
      </c>
      <c r="AG112" s="295">
        <f t="shared" si="62"/>
        <v>4228.2500686667281</v>
      </c>
      <c r="AH112" s="295">
        <f t="shared" si="62"/>
        <v>704.70834477778794</v>
      </c>
      <c r="AI112" s="295">
        <f t="shared" si="62"/>
        <v>704.70834477778794</v>
      </c>
      <c r="AJ112" s="295">
        <f t="shared" si="62"/>
        <v>1220595.534045941</v>
      </c>
      <c r="AK112" s="295">
        <f t="shared" si="62"/>
        <v>353167.45087516756</v>
      </c>
      <c r="AL112" s="295">
        <f t="shared" si="62"/>
        <v>1573762.9849211085</v>
      </c>
      <c r="AM112" s="452"/>
      <c r="AN112" s="452"/>
      <c r="AO112" s="452"/>
    </row>
    <row r="113" spans="1:41" s="91" customFormat="1" ht="13" x14ac:dyDescent="0.3">
      <c r="A113" s="110" t="s">
        <v>337</v>
      </c>
      <c r="B113" s="296"/>
      <c r="C113" s="296"/>
      <c r="D113" s="397">
        <f>SUM(D25:D110)*1440*365</f>
        <v>49490202805.568703</v>
      </c>
      <c r="E113" s="296"/>
      <c r="F113" s="296"/>
      <c r="G113" s="296"/>
      <c r="H113" s="296"/>
      <c r="I113" s="296"/>
      <c r="J113" s="296"/>
      <c r="K113" s="296"/>
      <c r="L113" s="296"/>
      <c r="M113" s="296"/>
      <c r="N113" s="296"/>
      <c r="O113" s="296"/>
      <c r="P113" s="296"/>
      <c r="Q113" s="296"/>
      <c r="R113" s="296"/>
      <c r="S113" s="296"/>
      <c r="T113" s="297"/>
      <c r="U113" s="397">
        <f>SUM(U11:U110)*365</f>
        <v>2953425927.5987554</v>
      </c>
      <c r="V113" s="397">
        <f>SUM(V11:V110)</f>
        <v>12095322.33987372</v>
      </c>
      <c r="W113" s="397">
        <f t="shared" ref="W113" si="65">SUM(W11:W110)</f>
        <v>1635108.3903903365</v>
      </c>
      <c r="X113" s="397">
        <f>SUM(X16:X110)</f>
        <v>1517674.9697889164</v>
      </c>
      <c r="Y113" s="397">
        <f>SUM(Y16:Y110)</f>
        <v>276975.68198647746</v>
      </c>
      <c r="Z113" s="296"/>
      <c r="AA113" s="296"/>
      <c r="AB113" s="296"/>
      <c r="AC113" s="296"/>
      <c r="AD113" s="296"/>
      <c r="AE113" s="296"/>
      <c r="AF113" s="296"/>
      <c r="AG113" s="296"/>
      <c r="AH113" s="296"/>
      <c r="AI113" s="296"/>
      <c r="AJ113" s="452"/>
      <c r="AK113" s="452"/>
      <c r="AL113" s="452"/>
      <c r="AM113" s="452"/>
      <c r="AN113" s="452"/>
      <c r="AO113" s="452">
        <f>SUM(AO25:AO110)</f>
        <v>2207396.3270269539</v>
      </c>
    </row>
    <row r="114" spans="1:41" s="91" customFormat="1" ht="13" x14ac:dyDescent="0.3">
      <c r="A114" s="110" t="s">
        <v>67</v>
      </c>
      <c r="B114" s="298"/>
      <c r="C114" s="298"/>
      <c r="D114" s="298"/>
      <c r="E114" s="298"/>
      <c r="F114" s="298"/>
      <c r="G114" s="298"/>
      <c r="H114" s="298"/>
      <c r="I114" s="298"/>
      <c r="J114" s="298"/>
      <c r="K114" s="298"/>
      <c r="L114" s="298"/>
      <c r="M114" s="298"/>
      <c r="N114" s="298"/>
      <c r="O114" s="298"/>
      <c r="P114" s="298"/>
      <c r="Q114" s="298"/>
      <c r="R114" s="298"/>
      <c r="S114" s="298"/>
      <c r="T114" s="298"/>
      <c r="U114" s="298"/>
      <c r="V114" s="297" t="s">
        <v>0</v>
      </c>
      <c r="W114" s="297"/>
      <c r="X114" s="297"/>
      <c r="Y114" s="297"/>
      <c r="Z114" s="299"/>
      <c r="AA114" s="301"/>
      <c r="AB114" s="299"/>
      <c r="AC114" s="299"/>
      <c r="AD114" s="299"/>
      <c r="AE114" s="299"/>
      <c r="AF114" s="299"/>
      <c r="AG114" s="299"/>
      <c r="AH114" s="299"/>
      <c r="AI114" s="299"/>
      <c r="AJ114" s="452"/>
      <c r="AK114" s="452"/>
      <c r="AL114" s="452"/>
      <c r="AM114" s="452"/>
      <c r="AN114" s="452"/>
      <c r="AO114" s="452"/>
    </row>
    <row r="115" spans="1:41" s="91" customFormat="1" ht="12.5" x14ac:dyDescent="0.25">
      <c r="A115" s="550" t="s">
        <v>338</v>
      </c>
      <c r="B115" s="452"/>
      <c r="C115" s="452"/>
      <c r="D115" s="452"/>
      <c r="E115" s="452"/>
      <c r="F115" s="452"/>
      <c r="G115" s="562" t="s">
        <v>340</v>
      </c>
      <c r="H115" s="452"/>
      <c r="I115" s="452"/>
      <c r="J115" s="452"/>
      <c r="K115" s="452"/>
      <c r="L115" s="452"/>
      <c r="M115" s="452"/>
      <c r="N115" s="452"/>
      <c r="O115" s="452"/>
      <c r="P115" s="452"/>
      <c r="Q115" s="452"/>
      <c r="R115" s="452"/>
      <c r="S115" s="452"/>
      <c r="T115" s="452"/>
      <c r="U115" s="452"/>
      <c r="V115" s="452"/>
      <c r="W115" s="297"/>
      <c r="X115" s="297"/>
      <c r="Y115" s="452"/>
      <c r="Z115" s="452"/>
      <c r="AA115" s="452"/>
      <c r="AB115" s="452"/>
      <c r="AC115" s="452"/>
      <c r="AD115" s="452"/>
      <c r="AE115" s="452"/>
      <c r="AF115" s="452"/>
      <c r="AG115" s="452"/>
      <c r="AH115" s="452"/>
      <c r="AI115" s="452"/>
      <c r="AJ115" s="452"/>
      <c r="AK115" s="452"/>
      <c r="AL115" s="452"/>
      <c r="AM115" s="452"/>
      <c r="AN115" s="452"/>
      <c r="AO115" s="452"/>
    </row>
    <row r="116" spans="1:41" s="91" customFormat="1" ht="12.5" x14ac:dyDescent="0.25">
      <c r="A116" s="550" t="s">
        <v>339</v>
      </c>
      <c r="B116" s="452"/>
      <c r="C116" s="452"/>
      <c r="D116" s="452"/>
      <c r="E116" s="452"/>
      <c r="F116" s="452"/>
      <c r="G116" s="562" t="s">
        <v>341</v>
      </c>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c r="AK116" s="452"/>
      <c r="AL116" s="452"/>
      <c r="AM116" s="452"/>
      <c r="AN116" s="452"/>
      <c r="AO116" s="452"/>
    </row>
    <row r="117" spans="1:41" s="91" customFormat="1" ht="12.5" x14ac:dyDescent="0.25">
      <c r="B117" s="452"/>
      <c r="C117" s="452"/>
      <c r="D117" s="452"/>
      <c r="E117" s="452"/>
      <c r="F117" s="452"/>
      <c r="G117" s="452"/>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452"/>
      <c r="AJ117" s="452"/>
      <c r="AK117" s="452"/>
      <c r="AL117" s="452"/>
      <c r="AM117" s="452"/>
      <c r="AN117" s="452"/>
      <c r="AO117" s="452"/>
    </row>
    <row r="118" spans="1:41" s="91" customFormat="1" ht="13" x14ac:dyDescent="0.3">
      <c r="A118" s="563">
        <v>0.28000000000000003</v>
      </c>
      <c r="B118" s="452" t="s">
        <v>342</v>
      </c>
      <c r="C118" s="452"/>
      <c r="D118" s="300" t="s">
        <v>343</v>
      </c>
      <c r="E118" s="452"/>
      <c r="F118" s="452"/>
      <c r="G118" s="452"/>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row>
    <row r="119" spans="1:41" s="91" customFormat="1" ht="12.5" x14ac:dyDescent="0.25">
      <c r="A119" s="272">
        <v>0.78</v>
      </c>
      <c r="B119" s="452" t="s">
        <v>344</v>
      </c>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row>
    <row r="120" spans="1:41" s="91" customFormat="1" ht="12.5" x14ac:dyDescent="0.25">
      <c r="A120" s="301">
        <f>1/(1-A119)</f>
        <v>4.5454545454545459</v>
      </c>
      <c r="B120" s="452" t="s">
        <v>345</v>
      </c>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2"/>
      <c r="AL120" s="452"/>
      <c r="AM120" s="452"/>
      <c r="AN120" s="452"/>
      <c r="AO120" s="452"/>
    </row>
    <row r="121" spans="1:41" s="91" customFormat="1" ht="12.5" x14ac:dyDescent="0.25">
      <c r="A121" s="452">
        <v>300</v>
      </c>
      <c r="B121" s="452" t="s">
        <v>346</v>
      </c>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row>
    <row r="122" spans="1:41" s="91" customFormat="1" ht="12.5" x14ac:dyDescent="0.25">
      <c r="E122" s="452"/>
      <c r="F122" s="452"/>
      <c r="G122" s="452"/>
      <c r="H122" s="452"/>
      <c r="I122" s="452"/>
      <c r="J122" s="452"/>
      <c r="K122" s="452"/>
      <c r="L122" s="452"/>
      <c r="M122" s="452"/>
      <c r="N122" s="301"/>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row>
    <row r="123" spans="1:41" s="91" customFormat="1" ht="12.5" x14ac:dyDescent="0.25">
      <c r="E123" s="452"/>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c r="AL123" s="452"/>
      <c r="AM123" s="452"/>
      <c r="AN123" s="452"/>
      <c r="AO123" s="452"/>
    </row>
    <row r="124" spans="1:41" s="91" customFormat="1" ht="12.5" x14ac:dyDescent="0.25">
      <c r="A124" s="452"/>
      <c r="B124" s="452"/>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2"/>
      <c r="AL124" s="452"/>
      <c r="AM124" s="452"/>
      <c r="AN124" s="452"/>
      <c r="AO124" s="452"/>
    </row>
    <row r="125" spans="1:41" s="91" customFormat="1" ht="12.5" x14ac:dyDescent="0.25">
      <c r="A125" s="452"/>
      <c r="B125" s="452"/>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2"/>
      <c r="AL125" s="452"/>
      <c r="AM125" s="452"/>
      <c r="AN125" s="452"/>
      <c r="AO125" s="452"/>
    </row>
    <row r="126" spans="1:41" s="91" customFormat="1" ht="12.5" x14ac:dyDescent="0.25">
      <c r="A126" s="452"/>
      <c r="B126" s="452"/>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row>
    <row r="127" spans="1:41" s="91" customFormat="1" ht="12.5" x14ac:dyDescent="0.25">
      <c r="A127" s="452"/>
      <c r="B127" s="452"/>
      <c r="C127" s="452">
        <f>C111/B111</f>
        <v>0.7046880168141052</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row>
    <row r="128" spans="1:41" s="91" customFormat="1" ht="12.5" x14ac:dyDescent="0.25">
      <c r="A128" s="452"/>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row>
    <row r="129" spans="15:15" s="91" customFormat="1" ht="12.5" x14ac:dyDescent="0.25">
      <c r="O129" s="452"/>
    </row>
    <row r="130" spans="15:15" s="91" customFormat="1" ht="12.5" x14ac:dyDescent="0.25">
      <c r="O130" s="452"/>
    </row>
    <row r="131" spans="15:15" s="91" customFormat="1" ht="12.5" x14ac:dyDescent="0.25">
      <c r="O131" s="452"/>
    </row>
    <row r="132" spans="15:15" s="91" customFormat="1" ht="12.5" x14ac:dyDescent="0.25">
      <c r="O132" s="452"/>
    </row>
    <row r="133" spans="15:15" s="91" customFormat="1" ht="12.5" x14ac:dyDescent="0.25">
      <c r="O133" s="452"/>
    </row>
    <row r="134" spans="15:15" s="91" customFormat="1" ht="12.5" x14ac:dyDescent="0.25">
      <c r="O134" s="452"/>
    </row>
    <row r="135" spans="15:15" s="91" customFormat="1" ht="12.5" x14ac:dyDescent="0.25">
      <c r="O135" s="452"/>
    </row>
  </sheetData>
  <sheetProtection algorithmName="SHA-512" hashValue="F742aNfhcHLeQ365rFpGg7S/aVoqXpcQuNoKJRC3XAXgBnhwwAn7oMvIb2ASjaTUkktB1Vaf/c2u8MLK4MrRxw==" saltValue="WzRKMG8HsLGgEs7TC/vdgA==" spinCount="100000" sheet="1" objects="1" scenarios="1"/>
  <mergeCells count="6">
    <mergeCell ref="AJ9:AL9"/>
    <mergeCell ref="A9:A10"/>
    <mergeCell ref="M9:S9"/>
    <mergeCell ref="B9:L9"/>
    <mergeCell ref="T9:W9"/>
    <mergeCell ref="X9:AI9"/>
  </mergeCells>
  <pageMargins left="0.7" right="0.7" top="0.75" bottom="0.75" header="0.3" footer="0.3"/>
  <pageSetup paperSize="17" scale="2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C1:E117"/>
  <sheetViews>
    <sheetView workbookViewId="0">
      <selection activeCell="B6" sqref="B6"/>
    </sheetView>
  </sheetViews>
  <sheetFormatPr defaultRowHeight="14.5" x14ac:dyDescent="0.35"/>
  <cols>
    <col min="3" max="4" width="10.36328125" style="409" customWidth="1"/>
  </cols>
  <sheetData>
    <row r="1" spans="3:5" x14ac:dyDescent="0.35">
      <c r="C1"/>
      <c r="D1"/>
    </row>
    <row r="2" spans="3:5" x14ac:dyDescent="0.35">
      <c r="C2"/>
      <c r="D2"/>
    </row>
    <row r="3" spans="3:5" x14ac:dyDescent="0.35">
      <c r="C3"/>
      <c r="D3"/>
    </row>
    <row r="4" spans="3:5" ht="31" x14ac:dyDescent="0.35">
      <c r="C4" s="402" t="s">
        <v>347</v>
      </c>
      <c r="D4" s="402" t="s">
        <v>348</v>
      </c>
    </row>
    <row r="5" spans="3:5" x14ac:dyDescent="0.35">
      <c r="C5" s="403" t="s">
        <v>349</v>
      </c>
      <c r="D5" s="403" t="s">
        <v>349</v>
      </c>
    </row>
    <row r="6" spans="3:5" x14ac:dyDescent="0.35">
      <c r="C6" s="404">
        <v>24500</v>
      </c>
      <c r="D6" s="404">
        <v>35700</v>
      </c>
      <c r="E6">
        <f>D6/C6</f>
        <v>1.4571428571428571</v>
      </c>
    </row>
    <row r="7" spans="3:5" x14ac:dyDescent="0.35">
      <c r="C7" s="404">
        <v>24500</v>
      </c>
      <c r="D7" s="404">
        <v>35700</v>
      </c>
      <c r="E7">
        <f t="shared" ref="E7:E70" si="0">D7/C7</f>
        <v>1.4571428571428571</v>
      </c>
    </row>
    <row r="8" spans="3:5" x14ac:dyDescent="0.35">
      <c r="C8" s="404">
        <v>24500</v>
      </c>
      <c r="D8" s="404">
        <v>35700</v>
      </c>
      <c r="E8">
        <f t="shared" si="0"/>
        <v>1.4571428571428571</v>
      </c>
    </row>
    <row r="9" spans="3:5" x14ac:dyDescent="0.35">
      <c r="C9" s="404">
        <v>24500</v>
      </c>
      <c r="D9" s="404">
        <v>35700</v>
      </c>
      <c r="E9">
        <f t="shared" si="0"/>
        <v>1.4571428571428571</v>
      </c>
    </row>
    <row r="10" spans="3:5" x14ac:dyDescent="0.35">
      <c r="C10" s="404">
        <v>24500</v>
      </c>
      <c r="D10" s="404">
        <v>35700</v>
      </c>
      <c r="E10">
        <f t="shared" si="0"/>
        <v>1.4571428571428571</v>
      </c>
    </row>
    <row r="11" spans="3:5" x14ac:dyDescent="0.35">
      <c r="C11" s="404">
        <v>24500</v>
      </c>
      <c r="D11" s="404">
        <v>35700</v>
      </c>
      <c r="E11">
        <f t="shared" si="0"/>
        <v>1.4571428571428571</v>
      </c>
    </row>
    <row r="12" spans="3:5" x14ac:dyDescent="0.35">
      <c r="C12" s="405">
        <v>24500</v>
      </c>
      <c r="D12" s="405">
        <v>35700</v>
      </c>
      <c r="E12">
        <f t="shared" si="0"/>
        <v>1.4571428571428571</v>
      </c>
    </row>
    <row r="13" spans="3:5" x14ac:dyDescent="0.35">
      <c r="C13" s="405">
        <v>24500</v>
      </c>
      <c r="D13" s="405">
        <v>35700</v>
      </c>
      <c r="E13">
        <f t="shared" si="0"/>
        <v>1.4571428571428571</v>
      </c>
    </row>
    <row r="14" spans="3:5" x14ac:dyDescent="0.35">
      <c r="C14" s="405">
        <v>24500</v>
      </c>
      <c r="D14" s="405">
        <v>35700</v>
      </c>
      <c r="E14">
        <f t="shared" si="0"/>
        <v>1.4571428571428571</v>
      </c>
    </row>
    <row r="15" spans="3:5" x14ac:dyDescent="0.35">
      <c r="C15" s="406">
        <f ca="1">+((C$20-C$14)/($C$20-$C$14))*($C15-$C$14)+C$14</f>
        <v>21028.666666666668</v>
      </c>
      <c r="D15" s="406">
        <f ca="1">+((D$20-D$14)/($C$20-$C$14))*($C15-$C$14)+D$14</f>
        <v>30593.5</v>
      </c>
      <c r="E15">
        <f t="shared" ca="1" si="0"/>
        <v>1.4571428571428571</v>
      </c>
    </row>
    <row r="16" spans="3:5" x14ac:dyDescent="0.35">
      <c r="C16" s="406">
        <f t="shared" ref="C16:D19" ca="1" si="1">+((C$20-C$14)/($C$20-$C$14))*($C16-$C$14)+C$14</f>
        <v>17557.333333333332</v>
      </c>
      <c r="D16" s="406">
        <f t="shared" ca="1" si="1"/>
        <v>25487</v>
      </c>
      <c r="E16">
        <f t="shared" ca="1" si="0"/>
        <v>1.4571428571428571</v>
      </c>
    </row>
    <row r="17" spans="3:5" x14ac:dyDescent="0.35">
      <c r="C17" s="406">
        <f t="shared" ca="1" si="1"/>
        <v>14086</v>
      </c>
      <c r="D17" s="406">
        <f t="shared" ca="1" si="1"/>
        <v>20380.5</v>
      </c>
      <c r="E17">
        <f t="shared" ca="1" si="0"/>
        <v>1.4571428571428571</v>
      </c>
    </row>
    <row r="18" spans="3:5" x14ac:dyDescent="0.35">
      <c r="C18" s="406">
        <f t="shared" ca="1" si="1"/>
        <v>10614.666666666666</v>
      </c>
      <c r="D18" s="406">
        <f t="shared" ca="1" si="1"/>
        <v>15274</v>
      </c>
      <c r="E18">
        <f t="shared" ca="1" si="0"/>
        <v>1.4571428571428571</v>
      </c>
    </row>
    <row r="19" spans="3:5" x14ac:dyDescent="0.35">
      <c r="C19" s="406">
        <f t="shared" ca="1" si="1"/>
        <v>7143.3333333333321</v>
      </c>
      <c r="D19" s="406">
        <f t="shared" ca="1" si="1"/>
        <v>10167.5</v>
      </c>
      <c r="E19">
        <f t="shared" ca="1" si="0"/>
        <v>1.4571428571428571</v>
      </c>
    </row>
    <row r="20" spans="3:5" x14ac:dyDescent="0.35">
      <c r="C20" s="407">
        <v>3672</v>
      </c>
      <c r="D20" s="407">
        <v>5061</v>
      </c>
      <c r="E20">
        <f t="shared" si="0"/>
        <v>1.3782679738562091</v>
      </c>
    </row>
    <row r="21" spans="3:5" x14ac:dyDescent="0.35">
      <c r="C21" s="408">
        <f ca="1">+((C$55-C$20)/($C$55-$C$20))*($C21-$C$20)+C$20</f>
        <v>3669.2571428571428</v>
      </c>
      <c r="D21" s="408">
        <f ca="1">+((D$55-D$20)/($C$55-$C$20))*($C21-$C$20)+D$20</f>
        <v>5057.4857142857145</v>
      </c>
      <c r="E21">
        <f t="shared" ca="1" si="0"/>
        <v>1.4571428571428571</v>
      </c>
    </row>
    <row r="22" spans="3:5" x14ac:dyDescent="0.35">
      <c r="C22" s="408">
        <f t="shared" ref="C22:D54" ca="1" si="2">+((C$55-C$20)/($C$55-$C$20))*($C22-$C$20)+C$20</f>
        <v>3666.5142857142855</v>
      </c>
      <c r="D22" s="408">
        <f t="shared" ca="1" si="2"/>
        <v>5053.971428571429</v>
      </c>
      <c r="E22">
        <f t="shared" ca="1" si="0"/>
        <v>1.4571428571428571</v>
      </c>
    </row>
    <row r="23" spans="3:5" x14ac:dyDescent="0.35">
      <c r="C23" s="408">
        <f t="shared" ca="1" si="2"/>
        <v>3663.7714285714287</v>
      </c>
      <c r="D23" s="408">
        <f t="shared" ca="1" si="2"/>
        <v>5050.4571428571426</v>
      </c>
      <c r="E23">
        <f t="shared" ca="1" si="0"/>
        <v>1.4571428571428571</v>
      </c>
    </row>
    <row r="24" spans="3:5" x14ac:dyDescent="0.35">
      <c r="C24" s="408">
        <f t="shared" ca="1" si="2"/>
        <v>3661.0285714285715</v>
      </c>
      <c r="D24" s="408">
        <f t="shared" ca="1" si="2"/>
        <v>5046.9428571428571</v>
      </c>
      <c r="E24">
        <f t="shared" ca="1" si="0"/>
        <v>1.4571428571428571</v>
      </c>
    </row>
    <row r="25" spans="3:5" x14ac:dyDescent="0.35">
      <c r="C25" s="408">
        <f t="shared" ca="1" si="2"/>
        <v>3658.2857142857142</v>
      </c>
      <c r="D25" s="408">
        <f t="shared" ca="1" si="2"/>
        <v>5043.4285714285716</v>
      </c>
      <c r="E25">
        <f t="shared" ca="1" si="0"/>
        <v>1.4571428571428571</v>
      </c>
    </row>
    <row r="26" spans="3:5" x14ac:dyDescent="0.35">
      <c r="C26" s="408">
        <f t="shared" ca="1" si="2"/>
        <v>3655.542857142857</v>
      </c>
      <c r="D26" s="408">
        <f t="shared" ca="1" si="2"/>
        <v>5039.9142857142861</v>
      </c>
      <c r="E26">
        <f t="shared" ca="1" si="0"/>
        <v>1.4571428571428571</v>
      </c>
    </row>
    <row r="27" spans="3:5" x14ac:dyDescent="0.35">
      <c r="C27" s="408">
        <f t="shared" ca="1" si="2"/>
        <v>3652.8</v>
      </c>
      <c r="D27" s="408">
        <f t="shared" ca="1" si="2"/>
        <v>5036.3999999999996</v>
      </c>
      <c r="E27">
        <f t="shared" ca="1" si="0"/>
        <v>1.4571428571428571</v>
      </c>
    </row>
    <row r="28" spans="3:5" x14ac:dyDescent="0.35">
      <c r="C28" s="408">
        <f t="shared" ca="1" si="2"/>
        <v>3650.0571428571429</v>
      </c>
      <c r="D28" s="408">
        <f t="shared" ca="1" si="2"/>
        <v>5032.8857142857141</v>
      </c>
      <c r="E28">
        <f t="shared" ca="1" si="0"/>
        <v>1.4571428571428571</v>
      </c>
    </row>
    <row r="29" spans="3:5" x14ac:dyDescent="0.35">
      <c r="C29" s="408">
        <f t="shared" ca="1" si="2"/>
        <v>3647.3142857142857</v>
      </c>
      <c r="D29" s="408">
        <f t="shared" ca="1" si="2"/>
        <v>5029.3714285714286</v>
      </c>
      <c r="E29">
        <f t="shared" ca="1" si="0"/>
        <v>1.4571428571428571</v>
      </c>
    </row>
    <row r="30" spans="3:5" x14ac:dyDescent="0.35">
      <c r="C30" s="408">
        <f t="shared" ca="1" si="2"/>
        <v>3644.5714285714284</v>
      </c>
      <c r="D30" s="408">
        <f t="shared" ca="1" si="2"/>
        <v>5025.8571428571431</v>
      </c>
      <c r="E30">
        <f t="shared" ca="1" si="0"/>
        <v>1.4571428571428571</v>
      </c>
    </row>
    <row r="31" spans="3:5" x14ac:dyDescent="0.35">
      <c r="C31" s="408">
        <f t="shared" ca="1" si="2"/>
        <v>3641.8285714285716</v>
      </c>
      <c r="D31" s="408">
        <f t="shared" ca="1" si="2"/>
        <v>5022.3428571428567</v>
      </c>
      <c r="E31">
        <f t="shared" ca="1" si="0"/>
        <v>1.4571428571428571</v>
      </c>
    </row>
    <row r="32" spans="3:5" x14ac:dyDescent="0.35">
      <c r="C32" s="408">
        <f t="shared" ca="1" si="2"/>
        <v>3639.0857142857144</v>
      </c>
      <c r="D32" s="408">
        <f t="shared" ca="1" si="2"/>
        <v>5018.8285714285712</v>
      </c>
      <c r="E32">
        <f t="shared" ca="1" si="0"/>
        <v>1.4571428571428571</v>
      </c>
    </row>
    <row r="33" spans="3:5" x14ac:dyDescent="0.35">
      <c r="C33" s="408">
        <f t="shared" ca="1" si="2"/>
        <v>3636.3428571428572</v>
      </c>
      <c r="D33" s="408">
        <f t="shared" ca="1" si="2"/>
        <v>5015.3142857142857</v>
      </c>
      <c r="E33">
        <f t="shared" ca="1" si="0"/>
        <v>1.4571428571428571</v>
      </c>
    </row>
    <row r="34" spans="3:5" x14ac:dyDescent="0.35">
      <c r="C34" s="408">
        <f t="shared" ca="1" si="2"/>
        <v>3633.6</v>
      </c>
      <c r="D34" s="408">
        <f t="shared" ca="1" si="2"/>
        <v>5011.8</v>
      </c>
      <c r="E34">
        <f t="shared" ca="1" si="0"/>
        <v>1.4571428571428571</v>
      </c>
    </row>
    <row r="35" spans="3:5" x14ac:dyDescent="0.35">
      <c r="C35" s="408">
        <f t="shared" ca="1" si="2"/>
        <v>3630.8571428571427</v>
      </c>
      <c r="D35" s="408">
        <f t="shared" ca="1" si="2"/>
        <v>5008.2857142857147</v>
      </c>
      <c r="E35">
        <f t="shared" ca="1" si="0"/>
        <v>1.4571428571428571</v>
      </c>
    </row>
    <row r="36" spans="3:5" x14ac:dyDescent="0.35">
      <c r="C36" s="408">
        <f t="shared" ca="1" si="2"/>
        <v>3628.1142857142859</v>
      </c>
      <c r="D36" s="408">
        <f t="shared" ca="1" si="2"/>
        <v>5004.7714285714283</v>
      </c>
      <c r="E36">
        <f t="shared" ca="1" si="0"/>
        <v>1.4571428571428571</v>
      </c>
    </row>
    <row r="37" spans="3:5" x14ac:dyDescent="0.35">
      <c r="C37" s="408">
        <f t="shared" ca="1" si="2"/>
        <v>3625.3714285714286</v>
      </c>
      <c r="D37" s="408">
        <f t="shared" ca="1" si="2"/>
        <v>5001.2571428571428</v>
      </c>
      <c r="E37">
        <f t="shared" ca="1" si="0"/>
        <v>1.4571428571428571</v>
      </c>
    </row>
    <row r="38" spans="3:5" x14ac:dyDescent="0.35">
      <c r="C38" s="408">
        <f t="shared" ca="1" si="2"/>
        <v>3622.6285714285714</v>
      </c>
      <c r="D38" s="408">
        <f t="shared" ca="1" si="2"/>
        <v>4997.7428571428572</v>
      </c>
      <c r="E38">
        <f t="shared" ca="1" si="0"/>
        <v>1.4571428571428571</v>
      </c>
    </row>
    <row r="39" spans="3:5" x14ac:dyDescent="0.35">
      <c r="C39" s="408">
        <f t="shared" ca="1" si="2"/>
        <v>3619.8857142857141</v>
      </c>
      <c r="D39" s="408">
        <f t="shared" ca="1" si="2"/>
        <v>4994.2285714285717</v>
      </c>
      <c r="E39">
        <f t="shared" ca="1" si="0"/>
        <v>1.4571428571428571</v>
      </c>
    </row>
    <row r="40" spans="3:5" x14ac:dyDescent="0.35">
      <c r="C40" s="408">
        <f t="shared" ca="1" si="2"/>
        <v>3617.1428571428573</v>
      </c>
      <c r="D40" s="408">
        <f t="shared" ca="1" si="2"/>
        <v>4990.7142857142853</v>
      </c>
      <c r="E40">
        <f t="shared" ca="1" si="0"/>
        <v>1.4571428571428571</v>
      </c>
    </row>
    <row r="41" spans="3:5" x14ac:dyDescent="0.35">
      <c r="C41" s="408">
        <f t="shared" ca="1" si="2"/>
        <v>3614.4</v>
      </c>
      <c r="D41" s="408">
        <f t="shared" ca="1" si="2"/>
        <v>4987.2</v>
      </c>
      <c r="E41">
        <f t="shared" ca="1" si="0"/>
        <v>1.4571428571428571</v>
      </c>
    </row>
    <row r="42" spans="3:5" x14ac:dyDescent="0.35">
      <c r="C42" s="408">
        <f t="shared" ca="1" si="2"/>
        <v>3611.6571428571428</v>
      </c>
      <c r="D42" s="408">
        <f t="shared" ca="1" si="2"/>
        <v>4983.6857142857143</v>
      </c>
      <c r="E42">
        <f t="shared" ca="1" si="0"/>
        <v>1.4571428571428571</v>
      </c>
    </row>
    <row r="43" spans="3:5" x14ac:dyDescent="0.35">
      <c r="C43" s="408">
        <f t="shared" ca="1" si="2"/>
        <v>3608.9142857142856</v>
      </c>
      <c r="D43" s="408">
        <f t="shared" ca="1" si="2"/>
        <v>4980.1714285714288</v>
      </c>
      <c r="E43">
        <f t="shared" ca="1" si="0"/>
        <v>1.4571428571428571</v>
      </c>
    </row>
    <row r="44" spans="3:5" x14ac:dyDescent="0.35">
      <c r="C44" s="408">
        <f t="shared" ca="1" si="2"/>
        <v>3606.1714285714288</v>
      </c>
      <c r="D44" s="408">
        <f t="shared" ca="1" si="2"/>
        <v>4976.6571428571433</v>
      </c>
      <c r="E44">
        <f t="shared" ca="1" si="0"/>
        <v>1.4571428571428571</v>
      </c>
    </row>
    <row r="45" spans="3:5" x14ac:dyDescent="0.35">
      <c r="C45" s="408">
        <f t="shared" ca="1" si="2"/>
        <v>3603.4285714285716</v>
      </c>
      <c r="D45" s="408">
        <f t="shared" ca="1" si="2"/>
        <v>4973.1428571428569</v>
      </c>
      <c r="E45">
        <f t="shared" ca="1" si="0"/>
        <v>1.4571428571428571</v>
      </c>
    </row>
    <row r="46" spans="3:5" x14ac:dyDescent="0.35">
      <c r="C46" s="408">
        <f t="shared" ca="1" si="2"/>
        <v>3600.6857142857143</v>
      </c>
      <c r="D46" s="408">
        <f t="shared" ca="1" si="2"/>
        <v>4969.6285714285714</v>
      </c>
      <c r="E46">
        <f t="shared" ca="1" si="0"/>
        <v>1.4571428571428571</v>
      </c>
    </row>
    <row r="47" spans="3:5" x14ac:dyDescent="0.35">
      <c r="C47" s="408">
        <f t="shared" ca="1" si="2"/>
        <v>3597.9428571428571</v>
      </c>
      <c r="D47" s="408">
        <f t="shared" ca="1" si="2"/>
        <v>4966.1142857142859</v>
      </c>
      <c r="E47">
        <f t="shared" ca="1" si="0"/>
        <v>1.4571428571428571</v>
      </c>
    </row>
    <row r="48" spans="3:5" x14ac:dyDescent="0.35">
      <c r="C48" s="408">
        <f t="shared" ca="1" si="2"/>
        <v>3595.2</v>
      </c>
      <c r="D48" s="408">
        <f t="shared" ca="1" si="2"/>
        <v>4962.6000000000004</v>
      </c>
      <c r="E48">
        <f t="shared" ca="1" si="0"/>
        <v>1.4571428571428571</v>
      </c>
    </row>
    <row r="49" spans="3:5" x14ac:dyDescent="0.35">
      <c r="C49" s="408">
        <f t="shared" ca="1" si="2"/>
        <v>3592.457142857143</v>
      </c>
      <c r="D49" s="408">
        <f t="shared" ca="1" si="2"/>
        <v>4959.0857142857139</v>
      </c>
      <c r="E49">
        <f t="shared" ca="1" si="0"/>
        <v>1.4571428571428571</v>
      </c>
    </row>
    <row r="50" spans="3:5" x14ac:dyDescent="0.35">
      <c r="C50" s="408">
        <f t="shared" ca="1" si="2"/>
        <v>3589.7142857142858</v>
      </c>
      <c r="D50" s="408">
        <f t="shared" ca="1" si="2"/>
        <v>4955.5714285714284</v>
      </c>
      <c r="E50">
        <f t="shared" ca="1" si="0"/>
        <v>1.4571428571428571</v>
      </c>
    </row>
    <row r="51" spans="3:5" x14ac:dyDescent="0.35">
      <c r="C51" s="408">
        <f t="shared" ca="1" si="2"/>
        <v>3586.9714285714285</v>
      </c>
      <c r="D51" s="408">
        <f t="shared" ca="1" si="2"/>
        <v>4952.0571428571429</v>
      </c>
      <c r="E51">
        <f t="shared" ca="1" si="0"/>
        <v>1.4571428571428571</v>
      </c>
    </row>
    <row r="52" spans="3:5" x14ac:dyDescent="0.35">
      <c r="C52" s="408">
        <f t="shared" ca="1" si="2"/>
        <v>3584.2285714285713</v>
      </c>
      <c r="D52" s="408">
        <f t="shared" ca="1" si="2"/>
        <v>4948.5428571428574</v>
      </c>
      <c r="E52">
        <f t="shared" ca="1" si="0"/>
        <v>1.4571428571428571</v>
      </c>
    </row>
    <row r="53" spans="3:5" x14ac:dyDescent="0.35">
      <c r="C53" s="408">
        <f t="shared" ca="1" si="2"/>
        <v>3581.4857142857145</v>
      </c>
      <c r="D53" s="408">
        <f t="shared" ca="1" si="2"/>
        <v>4945.028571428571</v>
      </c>
      <c r="E53">
        <f t="shared" ca="1" si="0"/>
        <v>1.4571428571428571</v>
      </c>
    </row>
    <row r="54" spans="3:5" x14ac:dyDescent="0.35">
      <c r="C54" s="408">
        <f t="shared" ca="1" si="2"/>
        <v>3578.7428571428572</v>
      </c>
      <c r="D54" s="408">
        <f t="shared" ca="1" si="2"/>
        <v>4941.5142857142855</v>
      </c>
      <c r="E54">
        <f t="shared" ca="1" si="0"/>
        <v>1.4571428571428571</v>
      </c>
    </row>
    <row r="55" spans="3:5" x14ac:dyDescent="0.35">
      <c r="C55" s="407">
        <v>3576</v>
      </c>
      <c r="D55" s="407">
        <v>4938</v>
      </c>
      <c r="E55">
        <f t="shared" si="0"/>
        <v>1.3808724832214765</v>
      </c>
    </row>
    <row r="56" spans="3:5" x14ac:dyDescent="0.35">
      <c r="C56" s="408">
        <f ca="1">+((C$105-C$55)/($C$105-$C$55))*($C56-$C$55)+C$55</f>
        <v>3574.96</v>
      </c>
      <c r="D56" s="408">
        <f t="shared" ref="D56:D104" ca="1" si="3">+((D$105-D$55)/($C$105-$C$55))*($C56-$C$55)+D$55</f>
        <v>4936.62</v>
      </c>
      <c r="E56">
        <f t="shared" ca="1" si="0"/>
        <v>1.4571428571428571</v>
      </c>
    </row>
    <row r="57" spans="3:5" x14ac:dyDescent="0.35">
      <c r="C57" s="408">
        <f t="shared" ref="C57:C104" ca="1" si="4">+((C$105-C$55)/($C$105-$C$55))*($C57-$C$55)+C$55</f>
        <v>3573.92</v>
      </c>
      <c r="D57" s="408">
        <f t="shared" ca="1" si="3"/>
        <v>4935.24</v>
      </c>
      <c r="E57">
        <f t="shared" ca="1" si="0"/>
        <v>1.4571428571428571</v>
      </c>
    </row>
    <row r="58" spans="3:5" x14ac:dyDescent="0.35">
      <c r="C58" s="408">
        <f t="shared" ca="1" si="4"/>
        <v>3572.88</v>
      </c>
      <c r="D58" s="408">
        <f t="shared" ca="1" si="3"/>
        <v>4933.8599999999997</v>
      </c>
      <c r="E58">
        <f t="shared" ca="1" si="0"/>
        <v>1.4571428571428571</v>
      </c>
    </row>
    <row r="59" spans="3:5" x14ac:dyDescent="0.35">
      <c r="C59" s="408">
        <f t="shared" ca="1" si="4"/>
        <v>3571.84</v>
      </c>
      <c r="D59" s="408">
        <f t="shared" ca="1" si="3"/>
        <v>4932.4799999999996</v>
      </c>
      <c r="E59">
        <f t="shared" ca="1" si="0"/>
        <v>1.4571428571428571</v>
      </c>
    </row>
    <row r="60" spans="3:5" x14ac:dyDescent="0.35">
      <c r="C60" s="408">
        <f t="shared" ca="1" si="4"/>
        <v>3570.8</v>
      </c>
      <c r="D60" s="408">
        <f t="shared" ca="1" si="3"/>
        <v>4931.1000000000004</v>
      </c>
      <c r="E60">
        <f t="shared" ca="1" si="0"/>
        <v>1.4571428571428571</v>
      </c>
    </row>
    <row r="61" spans="3:5" x14ac:dyDescent="0.35">
      <c r="C61" s="408">
        <f t="shared" ca="1" si="4"/>
        <v>3569.76</v>
      </c>
      <c r="D61" s="408">
        <f t="shared" ca="1" si="3"/>
        <v>4929.72</v>
      </c>
      <c r="E61">
        <f t="shared" ca="1" si="0"/>
        <v>1.4571428571428571</v>
      </c>
    </row>
    <row r="62" spans="3:5" x14ac:dyDescent="0.35">
      <c r="C62" s="408">
        <f t="shared" ca="1" si="4"/>
        <v>3568.72</v>
      </c>
      <c r="D62" s="408">
        <f t="shared" ca="1" si="3"/>
        <v>4928.34</v>
      </c>
      <c r="E62">
        <f t="shared" ca="1" si="0"/>
        <v>1.4571428571428571</v>
      </c>
    </row>
    <row r="63" spans="3:5" x14ac:dyDescent="0.35">
      <c r="C63" s="408">
        <f t="shared" ca="1" si="4"/>
        <v>3567.68</v>
      </c>
      <c r="D63" s="408">
        <f t="shared" ca="1" si="3"/>
        <v>4926.96</v>
      </c>
      <c r="E63">
        <f t="shared" ca="1" si="0"/>
        <v>1.4571428571428571</v>
      </c>
    </row>
    <row r="64" spans="3:5" x14ac:dyDescent="0.35">
      <c r="C64" s="408">
        <f t="shared" ca="1" si="4"/>
        <v>3566.64</v>
      </c>
      <c r="D64" s="408">
        <f t="shared" ca="1" si="3"/>
        <v>4925.58</v>
      </c>
      <c r="E64">
        <f t="shared" ca="1" si="0"/>
        <v>1.4571428571428571</v>
      </c>
    </row>
    <row r="65" spans="3:5" x14ac:dyDescent="0.35">
      <c r="C65" s="408">
        <f t="shared" ca="1" si="4"/>
        <v>3565.6</v>
      </c>
      <c r="D65" s="408">
        <f t="shared" ca="1" si="3"/>
        <v>4924.2</v>
      </c>
      <c r="E65">
        <f t="shared" ca="1" si="0"/>
        <v>1.4571428571428571</v>
      </c>
    </row>
    <row r="66" spans="3:5" x14ac:dyDescent="0.35">
      <c r="C66" s="408">
        <f t="shared" ca="1" si="4"/>
        <v>3564.56</v>
      </c>
      <c r="D66" s="408">
        <f t="shared" ca="1" si="3"/>
        <v>4922.82</v>
      </c>
      <c r="E66">
        <f t="shared" ca="1" si="0"/>
        <v>1.4571428571428571</v>
      </c>
    </row>
    <row r="67" spans="3:5" x14ac:dyDescent="0.35">
      <c r="C67" s="408">
        <f t="shared" ca="1" si="4"/>
        <v>3563.52</v>
      </c>
      <c r="D67" s="408">
        <f t="shared" ca="1" si="3"/>
        <v>4921.4399999999996</v>
      </c>
      <c r="E67">
        <f t="shared" ca="1" si="0"/>
        <v>1.4571428571428571</v>
      </c>
    </row>
    <row r="68" spans="3:5" x14ac:dyDescent="0.35">
      <c r="C68" s="408">
        <f t="shared" ca="1" si="4"/>
        <v>3562.48</v>
      </c>
      <c r="D68" s="408">
        <f t="shared" ca="1" si="3"/>
        <v>4920.0600000000004</v>
      </c>
      <c r="E68">
        <f t="shared" ca="1" si="0"/>
        <v>1.4571428571428571</v>
      </c>
    </row>
    <row r="69" spans="3:5" x14ac:dyDescent="0.35">
      <c r="C69" s="408">
        <f t="shared" ca="1" si="4"/>
        <v>3561.44</v>
      </c>
      <c r="D69" s="408">
        <f t="shared" ca="1" si="3"/>
        <v>4918.68</v>
      </c>
      <c r="E69">
        <f t="shared" ca="1" si="0"/>
        <v>1.4571428571428571</v>
      </c>
    </row>
    <row r="70" spans="3:5" x14ac:dyDescent="0.35">
      <c r="C70" s="408">
        <f t="shared" ca="1" si="4"/>
        <v>3560.4</v>
      </c>
      <c r="D70" s="408">
        <f t="shared" ca="1" si="3"/>
        <v>4917.3</v>
      </c>
      <c r="E70">
        <f t="shared" ca="1" si="0"/>
        <v>1.4571428571428571</v>
      </c>
    </row>
    <row r="71" spans="3:5" x14ac:dyDescent="0.35">
      <c r="C71" s="408">
        <f t="shared" ca="1" si="4"/>
        <v>3559.36</v>
      </c>
      <c r="D71" s="408">
        <f t="shared" ca="1" si="3"/>
        <v>4915.92</v>
      </c>
      <c r="E71">
        <f t="shared" ref="E71:E117" ca="1" si="5">D71/C71</f>
        <v>1.4571428571428571</v>
      </c>
    </row>
    <row r="72" spans="3:5" x14ac:dyDescent="0.35">
      <c r="C72" s="408">
        <f t="shared" ca="1" si="4"/>
        <v>3558.32</v>
      </c>
      <c r="D72" s="408">
        <f t="shared" ca="1" si="3"/>
        <v>4914.54</v>
      </c>
      <c r="E72">
        <f t="shared" ca="1" si="5"/>
        <v>1.4571428571428571</v>
      </c>
    </row>
    <row r="73" spans="3:5" x14ac:dyDescent="0.35">
      <c r="C73" s="408">
        <f t="shared" ca="1" si="4"/>
        <v>3557.28</v>
      </c>
      <c r="D73" s="408">
        <f t="shared" ca="1" si="3"/>
        <v>4913.16</v>
      </c>
      <c r="E73">
        <f t="shared" ca="1" si="5"/>
        <v>1.4571428571428571</v>
      </c>
    </row>
    <row r="74" spans="3:5" x14ac:dyDescent="0.35">
      <c r="C74" s="408">
        <f t="shared" ca="1" si="4"/>
        <v>3556.24</v>
      </c>
      <c r="D74" s="408">
        <f t="shared" ca="1" si="3"/>
        <v>4911.78</v>
      </c>
      <c r="E74">
        <f t="shared" ca="1" si="5"/>
        <v>1.4571428571428571</v>
      </c>
    </row>
    <row r="75" spans="3:5" x14ac:dyDescent="0.35">
      <c r="C75" s="408">
        <f t="shared" ca="1" si="4"/>
        <v>3555.2</v>
      </c>
      <c r="D75" s="408">
        <f t="shared" ca="1" si="3"/>
        <v>4910.3999999999996</v>
      </c>
      <c r="E75">
        <f t="shared" ca="1" si="5"/>
        <v>1.4571428571428571</v>
      </c>
    </row>
    <row r="76" spans="3:5" x14ac:dyDescent="0.35">
      <c r="C76" s="408">
        <f t="shared" ca="1" si="4"/>
        <v>3554.16</v>
      </c>
      <c r="D76" s="408">
        <f t="shared" ca="1" si="3"/>
        <v>4909.0200000000004</v>
      </c>
      <c r="E76">
        <f t="shared" ca="1" si="5"/>
        <v>1.4571428571428571</v>
      </c>
    </row>
    <row r="77" spans="3:5" x14ac:dyDescent="0.35">
      <c r="C77" s="408">
        <f t="shared" ca="1" si="4"/>
        <v>3553.12</v>
      </c>
      <c r="D77" s="408">
        <f t="shared" ca="1" si="3"/>
        <v>4907.6400000000003</v>
      </c>
      <c r="E77">
        <f t="shared" ca="1" si="5"/>
        <v>1.4571428571428571</v>
      </c>
    </row>
    <row r="78" spans="3:5" x14ac:dyDescent="0.35">
      <c r="C78" s="408">
        <f t="shared" ca="1" si="4"/>
        <v>3552.08</v>
      </c>
      <c r="D78" s="408">
        <f t="shared" ca="1" si="3"/>
        <v>4906.26</v>
      </c>
      <c r="E78">
        <f t="shared" ca="1" si="5"/>
        <v>1.4571428571428571</v>
      </c>
    </row>
    <row r="79" spans="3:5" x14ac:dyDescent="0.35">
      <c r="C79" s="408">
        <f t="shared" ca="1" si="4"/>
        <v>3551.04</v>
      </c>
      <c r="D79" s="408">
        <f t="shared" ca="1" si="3"/>
        <v>4904.88</v>
      </c>
      <c r="E79">
        <f t="shared" ca="1" si="5"/>
        <v>1.4571428571428571</v>
      </c>
    </row>
    <row r="80" spans="3:5" x14ac:dyDescent="0.35">
      <c r="C80" s="408">
        <f t="shared" ca="1" si="4"/>
        <v>3550</v>
      </c>
      <c r="D80" s="408">
        <f t="shared" ca="1" si="3"/>
        <v>4903.5</v>
      </c>
      <c r="E80">
        <f t="shared" ca="1" si="5"/>
        <v>1.4571428571428571</v>
      </c>
    </row>
    <row r="81" spans="3:5" x14ac:dyDescent="0.35">
      <c r="C81" s="408">
        <f t="shared" ca="1" si="4"/>
        <v>3548.96</v>
      </c>
      <c r="D81" s="408">
        <f t="shared" ca="1" si="3"/>
        <v>4902.12</v>
      </c>
      <c r="E81">
        <f t="shared" ca="1" si="5"/>
        <v>1.4571428571428571</v>
      </c>
    </row>
    <row r="82" spans="3:5" x14ac:dyDescent="0.35">
      <c r="C82" s="408">
        <f t="shared" ca="1" si="4"/>
        <v>3547.92</v>
      </c>
      <c r="D82" s="408">
        <f t="shared" ca="1" si="3"/>
        <v>4900.74</v>
      </c>
      <c r="E82">
        <f t="shared" ca="1" si="5"/>
        <v>1.4571428571428571</v>
      </c>
    </row>
    <row r="83" spans="3:5" x14ac:dyDescent="0.35">
      <c r="C83" s="408">
        <f t="shared" ca="1" si="4"/>
        <v>3546.88</v>
      </c>
      <c r="D83" s="408">
        <f t="shared" ca="1" si="3"/>
        <v>4899.3599999999997</v>
      </c>
      <c r="E83">
        <f t="shared" ca="1" si="5"/>
        <v>1.4571428571428571</v>
      </c>
    </row>
    <row r="84" spans="3:5" x14ac:dyDescent="0.35">
      <c r="C84" s="408">
        <f t="shared" ca="1" si="4"/>
        <v>3545.84</v>
      </c>
      <c r="D84" s="408">
        <f t="shared" ca="1" si="3"/>
        <v>4897.9799999999996</v>
      </c>
      <c r="E84">
        <f t="shared" ca="1" si="5"/>
        <v>1.4571428571428571</v>
      </c>
    </row>
    <row r="85" spans="3:5" x14ac:dyDescent="0.35">
      <c r="C85" s="408">
        <f t="shared" ca="1" si="4"/>
        <v>3544.8</v>
      </c>
      <c r="D85" s="408">
        <f t="shared" ca="1" si="3"/>
        <v>4896.6000000000004</v>
      </c>
      <c r="E85">
        <f t="shared" ca="1" si="5"/>
        <v>1.4571428571428571</v>
      </c>
    </row>
    <row r="86" spans="3:5" x14ac:dyDescent="0.35">
      <c r="C86" s="408">
        <f t="shared" ca="1" si="4"/>
        <v>3543.76</v>
      </c>
      <c r="D86" s="408">
        <f t="shared" ca="1" si="3"/>
        <v>4895.22</v>
      </c>
      <c r="E86">
        <f t="shared" ca="1" si="5"/>
        <v>1.4571428571428571</v>
      </c>
    </row>
    <row r="87" spans="3:5" x14ac:dyDescent="0.35">
      <c r="C87" s="408">
        <f t="shared" ca="1" si="4"/>
        <v>3542.72</v>
      </c>
      <c r="D87" s="408">
        <f t="shared" ca="1" si="3"/>
        <v>4893.84</v>
      </c>
      <c r="E87">
        <f t="shared" ca="1" si="5"/>
        <v>1.4571428571428571</v>
      </c>
    </row>
    <row r="88" spans="3:5" x14ac:dyDescent="0.35">
      <c r="C88" s="408">
        <f t="shared" ca="1" si="4"/>
        <v>3541.68</v>
      </c>
      <c r="D88" s="408">
        <f t="shared" ca="1" si="3"/>
        <v>4892.46</v>
      </c>
      <c r="E88">
        <f t="shared" ca="1" si="5"/>
        <v>1.4571428571428571</v>
      </c>
    </row>
    <row r="89" spans="3:5" x14ac:dyDescent="0.35">
      <c r="C89" s="408">
        <f t="shared" ca="1" si="4"/>
        <v>3540.64</v>
      </c>
      <c r="D89" s="408">
        <f t="shared" ca="1" si="3"/>
        <v>4891.08</v>
      </c>
      <c r="E89">
        <f t="shared" ca="1" si="5"/>
        <v>1.4571428571428571</v>
      </c>
    </row>
    <row r="90" spans="3:5" x14ac:dyDescent="0.35">
      <c r="C90" s="408">
        <f t="shared" ca="1" si="4"/>
        <v>3539.6</v>
      </c>
      <c r="D90" s="408">
        <f t="shared" ca="1" si="3"/>
        <v>4889.7</v>
      </c>
      <c r="E90">
        <f t="shared" ca="1" si="5"/>
        <v>1.4571428571428571</v>
      </c>
    </row>
    <row r="91" spans="3:5" x14ac:dyDescent="0.35">
      <c r="C91" s="408">
        <f t="shared" ca="1" si="4"/>
        <v>3538.56</v>
      </c>
      <c r="D91" s="408">
        <f t="shared" ca="1" si="3"/>
        <v>4888.32</v>
      </c>
      <c r="E91">
        <f t="shared" ca="1" si="5"/>
        <v>1.4571428571428571</v>
      </c>
    </row>
    <row r="92" spans="3:5" x14ac:dyDescent="0.35">
      <c r="C92" s="408">
        <f t="shared" ca="1" si="4"/>
        <v>3537.52</v>
      </c>
      <c r="D92" s="408">
        <f t="shared" ca="1" si="3"/>
        <v>4886.9399999999996</v>
      </c>
      <c r="E92">
        <f t="shared" ca="1" si="5"/>
        <v>1.4571428571428571</v>
      </c>
    </row>
    <row r="93" spans="3:5" x14ac:dyDescent="0.35">
      <c r="C93" s="408">
        <f t="shared" ca="1" si="4"/>
        <v>3536.48</v>
      </c>
      <c r="D93" s="408">
        <f t="shared" ca="1" si="3"/>
        <v>4885.5600000000004</v>
      </c>
      <c r="E93">
        <f t="shared" ca="1" si="5"/>
        <v>1.4571428571428571</v>
      </c>
    </row>
    <row r="94" spans="3:5" x14ac:dyDescent="0.35">
      <c r="C94" s="408">
        <f t="shared" ca="1" si="4"/>
        <v>3535.44</v>
      </c>
      <c r="D94" s="408">
        <f t="shared" ca="1" si="3"/>
        <v>4884.18</v>
      </c>
      <c r="E94">
        <f t="shared" ca="1" si="5"/>
        <v>1.4571428571428571</v>
      </c>
    </row>
    <row r="95" spans="3:5" x14ac:dyDescent="0.35">
      <c r="C95" s="408">
        <f t="shared" ca="1" si="4"/>
        <v>3534.4</v>
      </c>
      <c r="D95" s="408">
        <f t="shared" ca="1" si="3"/>
        <v>4882.8</v>
      </c>
      <c r="E95">
        <f t="shared" ca="1" si="5"/>
        <v>1.4571428571428571</v>
      </c>
    </row>
    <row r="96" spans="3:5" x14ac:dyDescent="0.35">
      <c r="C96" s="408">
        <f t="shared" ca="1" si="4"/>
        <v>3533.36</v>
      </c>
      <c r="D96" s="408">
        <f t="shared" ca="1" si="3"/>
        <v>4881.42</v>
      </c>
      <c r="E96">
        <f t="shared" ca="1" si="5"/>
        <v>1.4571428571428571</v>
      </c>
    </row>
    <row r="97" spans="3:5" x14ac:dyDescent="0.35">
      <c r="C97" s="408">
        <f t="shared" ca="1" si="4"/>
        <v>3532.32</v>
      </c>
      <c r="D97" s="408">
        <f t="shared" ca="1" si="3"/>
        <v>4880.04</v>
      </c>
      <c r="E97">
        <f t="shared" ca="1" si="5"/>
        <v>1.4571428571428571</v>
      </c>
    </row>
    <row r="98" spans="3:5" x14ac:dyDescent="0.35">
      <c r="C98" s="408">
        <f t="shared" ca="1" si="4"/>
        <v>3531.28</v>
      </c>
      <c r="D98" s="408">
        <f t="shared" ca="1" si="3"/>
        <v>4878.66</v>
      </c>
      <c r="E98">
        <f t="shared" ca="1" si="5"/>
        <v>1.4571428571428571</v>
      </c>
    </row>
    <row r="99" spans="3:5" x14ac:dyDescent="0.35">
      <c r="C99" s="408">
        <f t="shared" ca="1" si="4"/>
        <v>3530.24</v>
      </c>
      <c r="D99" s="408">
        <f t="shared" ca="1" si="3"/>
        <v>4877.28</v>
      </c>
      <c r="E99">
        <f t="shared" ca="1" si="5"/>
        <v>1.4571428571428571</v>
      </c>
    </row>
    <row r="100" spans="3:5" x14ac:dyDescent="0.35">
      <c r="C100" s="408">
        <f t="shared" ca="1" si="4"/>
        <v>3529.2</v>
      </c>
      <c r="D100" s="408">
        <f t="shared" ca="1" si="3"/>
        <v>4875.8999999999996</v>
      </c>
      <c r="E100">
        <f t="shared" ca="1" si="5"/>
        <v>1.4571428571428571</v>
      </c>
    </row>
    <row r="101" spans="3:5" x14ac:dyDescent="0.35">
      <c r="C101" s="408">
        <f t="shared" ca="1" si="4"/>
        <v>3528.16</v>
      </c>
      <c r="D101" s="408">
        <f t="shared" ca="1" si="3"/>
        <v>4874.5200000000004</v>
      </c>
      <c r="E101">
        <f t="shared" ca="1" si="5"/>
        <v>1.4571428571428571</v>
      </c>
    </row>
    <row r="102" spans="3:5" x14ac:dyDescent="0.35">
      <c r="C102" s="408">
        <f t="shared" ca="1" si="4"/>
        <v>3527.12</v>
      </c>
      <c r="D102" s="408">
        <f t="shared" ca="1" si="3"/>
        <v>4873.1400000000003</v>
      </c>
      <c r="E102">
        <f t="shared" ca="1" si="5"/>
        <v>1.4571428571428571</v>
      </c>
    </row>
    <row r="103" spans="3:5" x14ac:dyDescent="0.35">
      <c r="C103" s="408">
        <f t="shared" ca="1" si="4"/>
        <v>3526.08</v>
      </c>
      <c r="D103" s="408">
        <f t="shared" ca="1" si="3"/>
        <v>4871.76</v>
      </c>
      <c r="E103">
        <f t="shared" ca="1" si="5"/>
        <v>1.4571428571428571</v>
      </c>
    </row>
    <row r="104" spans="3:5" x14ac:dyDescent="0.35">
      <c r="C104" s="408">
        <f t="shared" ca="1" si="4"/>
        <v>3525.04</v>
      </c>
      <c r="D104" s="408">
        <f t="shared" ca="1" si="3"/>
        <v>4870.38</v>
      </c>
      <c r="E104">
        <f t="shared" ca="1" si="5"/>
        <v>1.4571428571428571</v>
      </c>
    </row>
    <row r="105" spans="3:5" x14ac:dyDescent="0.35">
      <c r="C105" s="407">
        <v>3524</v>
      </c>
      <c r="D105" s="407">
        <v>4869</v>
      </c>
      <c r="E105">
        <f t="shared" si="5"/>
        <v>1.3816685584562998</v>
      </c>
    </row>
    <row r="106" spans="3:5" x14ac:dyDescent="0.35">
      <c r="C106" s="407">
        <v>3322</v>
      </c>
      <c r="D106" s="407">
        <v>3322</v>
      </c>
      <c r="E106">
        <f t="shared" si="5"/>
        <v>1</v>
      </c>
    </row>
    <row r="107" spans="3:5" x14ac:dyDescent="0.35">
      <c r="C107" s="407">
        <v>3322</v>
      </c>
      <c r="D107" s="407">
        <v>3322</v>
      </c>
      <c r="E107">
        <f t="shared" si="5"/>
        <v>1</v>
      </c>
    </row>
    <row r="108" spans="3:5" x14ac:dyDescent="0.35">
      <c r="C108" s="407">
        <v>3322</v>
      </c>
      <c r="D108" s="407">
        <v>3322</v>
      </c>
      <c r="E108">
        <f t="shared" si="5"/>
        <v>1</v>
      </c>
    </row>
    <row r="109" spans="3:5" x14ac:dyDescent="0.35">
      <c r="C109" s="407">
        <v>3322</v>
      </c>
      <c r="D109" s="407">
        <v>3322</v>
      </c>
      <c r="E109">
        <f t="shared" si="5"/>
        <v>1</v>
      </c>
    </row>
    <row r="110" spans="3:5" x14ac:dyDescent="0.35">
      <c r="C110" s="407">
        <v>3322</v>
      </c>
      <c r="D110" s="407">
        <v>3322</v>
      </c>
      <c r="E110">
        <f t="shared" si="5"/>
        <v>1</v>
      </c>
    </row>
    <row r="111" spans="3:5" x14ac:dyDescent="0.35">
      <c r="C111" s="407">
        <v>3322</v>
      </c>
      <c r="D111" s="407">
        <v>3322</v>
      </c>
      <c r="E111">
        <f t="shared" si="5"/>
        <v>1</v>
      </c>
    </row>
    <row r="112" spans="3:5" x14ac:dyDescent="0.35">
      <c r="C112" s="407">
        <v>3322</v>
      </c>
      <c r="D112" s="407">
        <v>3322</v>
      </c>
      <c r="E112">
        <f t="shared" si="5"/>
        <v>1</v>
      </c>
    </row>
    <row r="113" spans="3:5" x14ac:dyDescent="0.35">
      <c r="C113" s="407">
        <v>3322</v>
      </c>
      <c r="D113" s="407">
        <v>3322</v>
      </c>
      <c r="E113">
        <f t="shared" si="5"/>
        <v>1</v>
      </c>
    </row>
    <row r="114" spans="3:5" x14ac:dyDescent="0.35">
      <c r="C114" s="407">
        <v>3322</v>
      </c>
      <c r="D114" s="407">
        <v>3322</v>
      </c>
      <c r="E114">
        <f t="shared" si="5"/>
        <v>1</v>
      </c>
    </row>
    <row r="115" spans="3:5" x14ac:dyDescent="0.35">
      <c r="C115" s="407">
        <v>3322</v>
      </c>
      <c r="D115" s="407">
        <v>3322</v>
      </c>
      <c r="E115">
        <f t="shared" si="5"/>
        <v>1</v>
      </c>
    </row>
    <row r="116" spans="3:5" x14ac:dyDescent="0.35">
      <c r="C116" s="407">
        <v>3322</v>
      </c>
      <c r="D116" s="407">
        <v>3322</v>
      </c>
      <c r="E116">
        <f t="shared" si="5"/>
        <v>1</v>
      </c>
    </row>
    <row r="117" spans="3:5" x14ac:dyDescent="0.35">
      <c r="C117" s="407">
        <v>3322</v>
      </c>
      <c r="D117" s="407">
        <v>3322</v>
      </c>
      <c r="E117">
        <f t="shared" si="5"/>
        <v>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T122"/>
  <sheetViews>
    <sheetView view="pageBreakPreview" zoomScale="175" zoomScaleNormal="100" zoomScaleSheetLayoutView="175" workbookViewId="0">
      <pane ySplit="10" topLeftCell="A104" activePane="bottomLeft" state="frozen"/>
      <selection activeCell="C46" sqref="C46"/>
      <selection pane="bottomLeft" activeCell="C109" sqref="C109"/>
    </sheetView>
  </sheetViews>
  <sheetFormatPr defaultColWidth="9.26953125" defaultRowHeight="12.5" x14ac:dyDescent="0.25"/>
  <cols>
    <col min="1" max="1" width="9.36328125" style="91" customWidth="1"/>
    <col min="2" max="2" width="9.26953125" style="91" bestFit="1" customWidth="1"/>
    <col min="3" max="3" width="12" style="91" bestFit="1" customWidth="1"/>
    <col min="4" max="4" width="11" style="91" customWidth="1"/>
    <col min="5" max="5" width="9.26953125" style="91" hidden="1" customWidth="1"/>
    <col min="6" max="6" width="12" style="91" hidden="1" customWidth="1"/>
    <col min="7" max="7" width="9.26953125" style="91" hidden="1" customWidth="1"/>
    <col min="8" max="8" width="9.26953125" style="91" bestFit="1" customWidth="1"/>
    <col min="9" max="9" width="12" style="91" bestFit="1" customWidth="1"/>
    <col min="10" max="10" width="9.26953125" style="91" bestFit="1" customWidth="1"/>
    <col min="11" max="11" width="15.26953125" style="91" customWidth="1"/>
    <col min="12" max="12" width="9.26953125" style="91" bestFit="1" customWidth="1"/>
    <col min="13" max="13" width="0" style="91" hidden="1" customWidth="1"/>
    <col min="14" max="14" width="13.36328125" style="91" hidden="1" customWidth="1"/>
    <col min="15" max="15" width="10" style="91" customWidth="1"/>
    <col min="16" max="16" width="12.7265625" style="91" bestFit="1" customWidth="1"/>
    <col min="17" max="16384" width="9.26953125" style="91"/>
  </cols>
  <sheetData>
    <row r="1" spans="1:20" x14ac:dyDescent="0.25">
      <c r="A1" s="452"/>
      <c r="B1" s="452"/>
      <c r="C1" s="452"/>
      <c r="D1" s="452"/>
      <c r="E1" s="93"/>
      <c r="F1" s="452"/>
      <c r="G1" s="452"/>
      <c r="H1" s="452"/>
      <c r="I1" s="452"/>
      <c r="J1" s="452"/>
      <c r="K1" s="452"/>
      <c r="L1" s="452"/>
      <c r="M1" s="452"/>
      <c r="N1" s="452"/>
      <c r="O1" s="452"/>
      <c r="P1" s="452"/>
      <c r="Q1" s="452"/>
      <c r="R1" s="452"/>
      <c r="S1" s="452"/>
      <c r="T1" s="452"/>
    </row>
    <row r="2" spans="1:20" x14ac:dyDescent="0.25">
      <c r="A2" s="452"/>
      <c r="B2" s="452"/>
      <c r="C2" s="452"/>
      <c r="D2" s="452"/>
      <c r="E2" s="93"/>
      <c r="F2" s="452"/>
      <c r="G2" s="452"/>
      <c r="H2" s="452"/>
      <c r="I2" s="452"/>
      <c r="J2" s="452"/>
      <c r="K2" s="452"/>
      <c r="L2" s="452"/>
      <c r="M2" s="452"/>
      <c r="N2" s="452"/>
      <c r="O2" s="452"/>
      <c r="P2" s="452"/>
      <c r="Q2" s="452"/>
      <c r="R2" s="452"/>
      <c r="S2" s="452"/>
      <c r="T2" s="452"/>
    </row>
    <row r="3" spans="1:20" ht="25.5" customHeight="1" x14ac:dyDescent="0.35">
      <c r="A3" s="3"/>
      <c r="B3" s="3"/>
      <c r="C3" s="3"/>
      <c r="D3" s="452"/>
      <c r="E3" s="452"/>
      <c r="F3" s="452" t="s">
        <v>0</v>
      </c>
      <c r="G3" s="270" t="s">
        <v>0</v>
      </c>
      <c r="H3" s="317"/>
      <c r="I3" s="452"/>
      <c r="J3" s="452"/>
      <c r="K3" s="452"/>
      <c r="L3" s="452"/>
      <c r="M3" s="452"/>
      <c r="N3" s="452"/>
      <c r="O3" s="452"/>
      <c r="P3" s="452"/>
      <c r="Q3" s="452"/>
      <c r="R3" s="452"/>
      <c r="S3" s="452"/>
      <c r="T3" s="105"/>
    </row>
    <row r="4" spans="1:20" ht="13" x14ac:dyDescent="0.3">
      <c r="A4" s="451" t="s">
        <v>1</v>
      </c>
      <c r="B4" s="452"/>
      <c r="C4" s="118" t="str">
        <f>'2019 CCP Summary'!B4</f>
        <v>REV 0 July 29, 2019</v>
      </c>
      <c r="D4" s="452"/>
      <c r="E4" s="452"/>
      <c r="F4" s="452"/>
      <c r="G4" s="452"/>
      <c r="H4" s="177"/>
      <c r="J4" s="452"/>
      <c r="K4" s="452"/>
      <c r="L4" s="452"/>
      <c r="M4" s="452"/>
      <c r="N4" s="452"/>
      <c r="O4" s="452"/>
      <c r="P4" s="452"/>
      <c r="Q4" s="452"/>
      <c r="R4" s="452"/>
      <c r="S4" s="5"/>
      <c r="T4" s="22"/>
    </row>
    <row r="5" spans="1:20" ht="13" x14ac:dyDescent="0.3">
      <c r="A5" s="453" t="s">
        <v>2</v>
      </c>
      <c r="B5" s="452"/>
      <c r="C5" s="461">
        <f>'2019 CCP Summary'!B5</f>
        <v>18106417</v>
      </c>
      <c r="D5" s="452"/>
      <c r="E5" s="452"/>
      <c r="F5" s="452"/>
      <c r="G5" s="452"/>
      <c r="H5" s="452"/>
      <c r="I5" s="452"/>
      <c r="J5" s="452"/>
      <c r="K5" s="452"/>
      <c r="L5" s="452"/>
      <c r="M5" s="452"/>
      <c r="N5" s="452"/>
      <c r="O5" s="452"/>
      <c r="P5" s="452"/>
      <c r="Q5" s="452"/>
      <c r="R5" s="452"/>
      <c r="S5" s="5"/>
      <c r="T5" s="22"/>
    </row>
    <row r="6" spans="1:20" ht="13" x14ac:dyDescent="0.3">
      <c r="A6" s="453" t="s">
        <v>3</v>
      </c>
      <c r="B6" s="452"/>
      <c r="C6" s="6" t="s">
        <v>350</v>
      </c>
      <c r="D6" s="452"/>
      <c r="E6" s="452"/>
      <c r="F6" s="452"/>
      <c r="G6" s="5" t="s">
        <v>0</v>
      </c>
      <c r="H6" s="22" t="s">
        <v>0</v>
      </c>
      <c r="I6" s="452"/>
      <c r="J6" s="452"/>
      <c r="K6" s="452"/>
      <c r="L6" s="452"/>
      <c r="M6" s="452"/>
      <c r="N6" s="452"/>
      <c r="O6" s="452"/>
      <c r="P6" s="452"/>
      <c r="Q6" s="452"/>
      <c r="R6" s="452"/>
      <c r="S6" s="452"/>
      <c r="T6" s="452"/>
    </row>
    <row r="7" spans="1:20" ht="13" x14ac:dyDescent="0.3">
      <c r="A7" s="451" t="s">
        <v>5</v>
      </c>
      <c r="B7" s="452"/>
      <c r="C7" s="736" t="str">
        <f>'2019 CCP Summary'!B7</f>
        <v>Tyrone Mine Closure Closeout Plan</v>
      </c>
      <c r="D7" s="736"/>
      <c r="E7" s="736"/>
      <c r="F7" s="736"/>
      <c r="G7" s="736"/>
      <c r="H7" s="736"/>
      <c r="I7" s="736"/>
      <c r="J7" s="452"/>
      <c r="K7" s="452"/>
      <c r="L7" s="452"/>
      <c r="M7" s="452"/>
      <c r="N7" s="452"/>
      <c r="O7" s="452"/>
      <c r="P7" s="452"/>
      <c r="Q7" s="452"/>
      <c r="R7" s="452"/>
      <c r="S7" s="452"/>
      <c r="T7" s="452"/>
    </row>
    <row r="9" spans="1:20" ht="32.25" customHeight="1" x14ac:dyDescent="0.3">
      <c r="A9" s="458" t="s">
        <v>50</v>
      </c>
      <c r="B9" s="741" t="s">
        <v>351</v>
      </c>
      <c r="C9" s="742"/>
      <c r="D9" s="743"/>
      <c r="E9" s="741" t="s">
        <v>352</v>
      </c>
      <c r="F9" s="742"/>
      <c r="G9" s="743"/>
      <c r="H9" s="741" t="s">
        <v>353</v>
      </c>
      <c r="I9" s="742"/>
      <c r="J9" s="743"/>
      <c r="K9" s="457" t="s">
        <v>354</v>
      </c>
      <c r="L9" s="739" t="s">
        <v>355</v>
      </c>
      <c r="M9" s="457" t="s">
        <v>356</v>
      </c>
      <c r="N9" s="457" t="s">
        <v>357</v>
      </c>
      <c r="O9" s="739" t="s">
        <v>358</v>
      </c>
      <c r="P9" s="739" t="s">
        <v>357</v>
      </c>
      <c r="Q9" s="452"/>
      <c r="R9" s="452"/>
      <c r="S9" s="452"/>
      <c r="T9" s="452"/>
    </row>
    <row r="10" spans="1:20" ht="13" x14ac:dyDescent="0.3">
      <c r="A10" s="459"/>
      <c r="B10" s="264" t="s">
        <v>359</v>
      </c>
      <c r="C10" s="264" t="s">
        <v>360</v>
      </c>
      <c r="D10" s="264" t="s">
        <v>361</v>
      </c>
      <c r="E10" s="264" t="s">
        <v>359</v>
      </c>
      <c r="F10" s="264" t="s">
        <v>360</v>
      </c>
      <c r="G10" s="264" t="s">
        <v>361</v>
      </c>
      <c r="H10" s="264" t="s">
        <v>359</v>
      </c>
      <c r="I10" s="264" t="s">
        <v>360</v>
      </c>
      <c r="J10" s="264" t="s">
        <v>361</v>
      </c>
      <c r="K10" s="264" t="s">
        <v>362</v>
      </c>
      <c r="L10" s="740"/>
      <c r="M10" s="457"/>
      <c r="N10" s="457"/>
      <c r="O10" s="740" t="s">
        <v>50</v>
      </c>
      <c r="P10" s="740" t="s">
        <v>50</v>
      </c>
      <c r="Q10" s="452"/>
      <c r="R10" s="452"/>
      <c r="S10" s="452"/>
      <c r="T10" s="452"/>
    </row>
    <row r="11" spans="1:20" hidden="1" x14ac:dyDescent="0.25">
      <c r="A11" s="106">
        <v>0</v>
      </c>
      <c r="B11" s="107">
        <v>0</v>
      </c>
      <c r="C11" s="107">
        <v>0</v>
      </c>
      <c r="D11" s="107">
        <v>0</v>
      </c>
      <c r="E11" s="107">
        <v>0</v>
      </c>
      <c r="F11" s="107">
        <v>0</v>
      </c>
      <c r="G11" s="107">
        <v>0</v>
      </c>
      <c r="H11" s="107">
        <v>0</v>
      </c>
      <c r="I11" s="107">
        <v>0</v>
      </c>
      <c r="J11" s="107">
        <v>0</v>
      </c>
      <c r="K11" s="107">
        <v>0</v>
      </c>
      <c r="L11" s="107">
        <f>(B11+E11+H11)*4+(C11+F11+I11)*2+(D11+G11+J11)*1+(K11*12)</f>
        <v>0</v>
      </c>
      <c r="M11" s="108"/>
      <c r="N11" s="108">
        <v>0</v>
      </c>
      <c r="O11" s="108"/>
      <c r="P11" s="108">
        <v>0</v>
      </c>
      <c r="Q11" s="452"/>
      <c r="R11" s="452"/>
      <c r="S11" s="452"/>
      <c r="T11" s="452"/>
    </row>
    <row r="12" spans="1:20" x14ac:dyDescent="0.25">
      <c r="A12" s="106">
        <v>1</v>
      </c>
      <c r="B12" s="441">
        <v>2</v>
      </c>
      <c r="C12" s="441">
        <v>0</v>
      </c>
      <c r="D12" s="107">
        <v>0</v>
      </c>
      <c r="E12" s="107"/>
      <c r="F12" s="107"/>
      <c r="G12" s="107"/>
      <c r="H12" s="441">
        <v>0</v>
      </c>
      <c r="I12" s="441">
        <v>0</v>
      </c>
      <c r="J12" s="441">
        <v>0</v>
      </c>
      <c r="K12" s="441">
        <v>0</v>
      </c>
      <c r="L12" s="107">
        <f>(B12+E12+H12)*4+(C12+F12+I12)*2+(D12+G12+J12)*1+(K12*12)</f>
        <v>8</v>
      </c>
      <c r="M12" s="108">
        <v>47000</v>
      </c>
      <c r="N12" s="108">
        <f t="shared" ref="N12:N75" si="0">M12/L12</f>
        <v>5875</v>
      </c>
      <c r="O12" s="108">
        <f>'TTS O&amp;M Input'!$C$24</f>
        <v>403</v>
      </c>
      <c r="P12" s="109">
        <f>$O$12*L12</f>
        <v>3224</v>
      </c>
      <c r="Q12" s="452"/>
      <c r="R12" s="452"/>
      <c r="S12" s="452"/>
      <c r="T12" s="452"/>
    </row>
    <row r="13" spans="1:20" x14ac:dyDescent="0.25">
      <c r="A13" s="106">
        <v>2</v>
      </c>
      <c r="B13" s="441">
        <v>2</v>
      </c>
      <c r="C13" s="441">
        <v>0</v>
      </c>
      <c r="D13" s="107">
        <v>0</v>
      </c>
      <c r="E13" s="107"/>
      <c r="F13" s="107"/>
      <c r="G13" s="107"/>
      <c r="H13" s="441">
        <v>0</v>
      </c>
      <c r="I13" s="441">
        <v>0</v>
      </c>
      <c r="J13" s="441">
        <v>0</v>
      </c>
      <c r="K13" s="441">
        <v>0</v>
      </c>
      <c r="L13" s="107">
        <f t="shared" ref="L13:L76" si="1">(B13+E13+H13)*4+(C13+F13+I13)*2+(D13+G13+J13)*1+(K13*12)</f>
        <v>8</v>
      </c>
      <c r="M13" s="108"/>
      <c r="N13" s="108">
        <f t="shared" si="0"/>
        <v>0</v>
      </c>
      <c r="O13" s="108">
        <f>'TTS O&amp;M Input'!$C$24</f>
        <v>403</v>
      </c>
      <c r="P13" s="109">
        <f t="shared" ref="P13:P76" si="2">$O$12*L13</f>
        <v>3224</v>
      </c>
      <c r="Q13" s="452"/>
      <c r="R13" s="452"/>
      <c r="S13" s="452"/>
      <c r="T13" s="452"/>
    </row>
    <row r="14" spans="1:20" x14ac:dyDescent="0.25">
      <c r="A14" s="106">
        <v>3</v>
      </c>
      <c r="B14" s="441">
        <v>2</v>
      </c>
      <c r="C14" s="441">
        <v>0</v>
      </c>
      <c r="D14" s="107">
        <v>0</v>
      </c>
      <c r="E14" s="107"/>
      <c r="F14" s="107"/>
      <c r="G14" s="107"/>
      <c r="H14" s="441">
        <v>0</v>
      </c>
      <c r="I14" s="441">
        <v>0</v>
      </c>
      <c r="J14" s="441">
        <v>0</v>
      </c>
      <c r="K14" s="441">
        <v>0</v>
      </c>
      <c r="L14" s="107">
        <f t="shared" si="1"/>
        <v>8</v>
      </c>
      <c r="M14" s="108"/>
      <c r="N14" s="108">
        <f t="shared" si="0"/>
        <v>0</v>
      </c>
      <c r="O14" s="108">
        <f>'TTS O&amp;M Input'!$C$24</f>
        <v>403</v>
      </c>
      <c r="P14" s="109">
        <f t="shared" si="2"/>
        <v>3224</v>
      </c>
      <c r="Q14" s="452"/>
      <c r="R14" s="452"/>
      <c r="S14" s="452"/>
      <c r="T14" s="452"/>
    </row>
    <row r="15" spans="1:20" x14ac:dyDescent="0.25">
      <c r="A15" s="106">
        <v>4</v>
      </c>
      <c r="B15" s="441">
        <v>2</v>
      </c>
      <c r="C15" s="441">
        <v>0</v>
      </c>
      <c r="D15" s="106">
        <v>0</v>
      </c>
      <c r="E15" s="106"/>
      <c r="F15" s="106"/>
      <c r="G15" s="106"/>
      <c r="H15" s="441">
        <v>0</v>
      </c>
      <c r="I15" s="441">
        <v>0</v>
      </c>
      <c r="J15" s="441">
        <v>0</v>
      </c>
      <c r="K15" s="441">
        <v>0</v>
      </c>
      <c r="L15" s="107">
        <f t="shared" si="1"/>
        <v>8</v>
      </c>
      <c r="M15" s="108"/>
      <c r="N15" s="108">
        <f t="shared" si="0"/>
        <v>0</v>
      </c>
      <c r="O15" s="108">
        <f>'TTS O&amp;M Input'!$C$24</f>
        <v>403</v>
      </c>
      <c r="P15" s="109">
        <f t="shared" si="2"/>
        <v>3224</v>
      </c>
      <c r="Q15" s="452"/>
      <c r="R15" s="452"/>
      <c r="S15" s="452"/>
      <c r="T15" s="452"/>
    </row>
    <row r="16" spans="1:20" x14ac:dyDescent="0.25">
      <c r="A16" s="106">
        <v>5</v>
      </c>
      <c r="B16" s="441">
        <v>2</v>
      </c>
      <c r="C16" s="441">
        <v>0</v>
      </c>
      <c r="D16" s="106">
        <v>0</v>
      </c>
      <c r="E16" s="106"/>
      <c r="F16" s="106"/>
      <c r="G16" s="106"/>
      <c r="H16" s="441">
        <v>0</v>
      </c>
      <c r="I16" s="441">
        <v>0</v>
      </c>
      <c r="J16" s="441">
        <v>0</v>
      </c>
      <c r="K16" s="441">
        <v>0</v>
      </c>
      <c r="L16" s="107">
        <f t="shared" si="1"/>
        <v>8</v>
      </c>
      <c r="M16" s="108">
        <v>53000</v>
      </c>
      <c r="N16" s="108">
        <f t="shared" si="0"/>
        <v>6625</v>
      </c>
      <c r="O16" s="108">
        <f>'TTS O&amp;M Input'!$C$24</f>
        <v>403</v>
      </c>
      <c r="P16" s="109">
        <f t="shared" si="2"/>
        <v>3224</v>
      </c>
      <c r="Q16" s="452"/>
      <c r="R16" s="452"/>
      <c r="S16" s="452"/>
      <c r="T16" s="452"/>
    </row>
    <row r="17" spans="1:16" x14ac:dyDescent="0.25">
      <c r="A17" s="106">
        <v>6</v>
      </c>
      <c r="B17" s="441">
        <v>2</v>
      </c>
      <c r="C17" s="441">
        <v>0</v>
      </c>
      <c r="D17" s="107">
        <v>0</v>
      </c>
      <c r="E17" s="107"/>
      <c r="F17" s="107"/>
      <c r="G17" s="107"/>
      <c r="H17" s="441">
        <v>0</v>
      </c>
      <c r="I17" s="441">
        <v>0</v>
      </c>
      <c r="J17" s="441">
        <v>0</v>
      </c>
      <c r="K17" s="441">
        <v>0</v>
      </c>
      <c r="L17" s="107">
        <f t="shared" si="1"/>
        <v>8</v>
      </c>
      <c r="M17" s="108"/>
      <c r="N17" s="108">
        <f t="shared" si="0"/>
        <v>0</v>
      </c>
      <c r="O17" s="108">
        <f>'TTS O&amp;M Input'!$C$24</f>
        <v>403</v>
      </c>
      <c r="P17" s="109">
        <f t="shared" si="2"/>
        <v>3224</v>
      </c>
    </row>
    <row r="18" spans="1:16" x14ac:dyDescent="0.25">
      <c r="A18" s="106">
        <v>7</v>
      </c>
      <c r="B18" s="441">
        <v>2</v>
      </c>
      <c r="C18" s="441">
        <v>0</v>
      </c>
      <c r="D18" s="107">
        <v>0</v>
      </c>
      <c r="E18" s="107"/>
      <c r="F18" s="107"/>
      <c r="G18" s="107"/>
      <c r="H18" s="441">
        <v>0</v>
      </c>
      <c r="I18" s="441">
        <v>0</v>
      </c>
      <c r="J18" s="441">
        <v>0</v>
      </c>
      <c r="K18" s="441">
        <v>0</v>
      </c>
      <c r="L18" s="107">
        <f t="shared" si="1"/>
        <v>8</v>
      </c>
      <c r="M18" s="108"/>
      <c r="N18" s="108">
        <f t="shared" si="0"/>
        <v>0</v>
      </c>
      <c r="O18" s="108">
        <f>'TTS O&amp;M Input'!$C$24</f>
        <v>403</v>
      </c>
      <c r="P18" s="109">
        <f t="shared" si="2"/>
        <v>3224</v>
      </c>
    </row>
    <row r="19" spans="1:16" x14ac:dyDescent="0.25">
      <c r="A19" s="106">
        <v>8</v>
      </c>
      <c r="B19" s="441">
        <v>2</v>
      </c>
      <c r="C19" s="441">
        <v>0</v>
      </c>
      <c r="D19" s="107">
        <v>0</v>
      </c>
      <c r="E19" s="107"/>
      <c r="F19" s="107"/>
      <c r="G19" s="107"/>
      <c r="H19" s="441">
        <v>0</v>
      </c>
      <c r="I19" s="441">
        <v>0</v>
      </c>
      <c r="J19" s="441">
        <v>0</v>
      </c>
      <c r="K19" s="441">
        <v>0</v>
      </c>
      <c r="L19" s="107">
        <f t="shared" si="1"/>
        <v>8</v>
      </c>
      <c r="M19" s="108"/>
      <c r="N19" s="108">
        <f t="shared" si="0"/>
        <v>0</v>
      </c>
      <c r="O19" s="108">
        <f>'TTS O&amp;M Input'!$C$24</f>
        <v>403</v>
      </c>
      <c r="P19" s="109">
        <f t="shared" si="2"/>
        <v>3224</v>
      </c>
    </row>
    <row r="20" spans="1:16" x14ac:dyDescent="0.25">
      <c r="A20" s="106">
        <v>9</v>
      </c>
      <c r="B20" s="441">
        <v>2</v>
      </c>
      <c r="C20" s="441">
        <v>0</v>
      </c>
      <c r="D20" s="107">
        <v>0</v>
      </c>
      <c r="E20" s="107"/>
      <c r="F20" s="107"/>
      <c r="G20" s="107"/>
      <c r="H20" s="441">
        <v>0</v>
      </c>
      <c r="I20" s="441">
        <v>0</v>
      </c>
      <c r="J20" s="441">
        <v>0</v>
      </c>
      <c r="K20" s="441">
        <v>0</v>
      </c>
      <c r="L20" s="107">
        <f t="shared" si="1"/>
        <v>8</v>
      </c>
      <c r="M20" s="108"/>
      <c r="N20" s="108">
        <f t="shared" si="0"/>
        <v>0</v>
      </c>
      <c r="O20" s="108">
        <f>'TTS O&amp;M Input'!$C$24</f>
        <v>403</v>
      </c>
      <c r="P20" s="109">
        <f t="shared" si="2"/>
        <v>3224</v>
      </c>
    </row>
    <row r="21" spans="1:16" x14ac:dyDescent="0.25">
      <c r="A21" s="106">
        <v>10</v>
      </c>
      <c r="B21" s="441">
        <v>2</v>
      </c>
      <c r="C21" s="441">
        <v>0</v>
      </c>
      <c r="D21" s="107">
        <v>0</v>
      </c>
      <c r="E21" s="107"/>
      <c r="F21" s="107"/>
      <c r="G21" s="107"/>
      <c r="H21" s="441">
        <v>0</v>
      </c>
      <c r="I21" s="441">
        <v>0</v>
      </c>
      <c r="J21" s="441">
        <v>0</v>
      </c>
      <c r="K21" s="441">
        <v>0</v>
      </c>
      <c r="L21" s="107">
        <f t="shared" si="1"/>
        <v>8</v>
      </c>
      <c r="M21" s="108">
        <v>48000</v>
      </c>
      <c r="N21" s="108">
        <f t="shared" si="0"/>
        <v>6000</v>
      </c>
      <c r="O21" s="108">
        <f>'TTS O&amp;M Input'!$C$24</f>
        <v>403</v>
      </c>
      <c r="P21" s="109">
        <f t="shared" si="2"/>
        <v>3224</v>
      </c>
    </row>
    <row r="22" spans="1:16" x14ac:dyDescent="0.25">
      <c r="A22" s="106">
        <v>11</v>
      </c>
      <c r="B22" s="441">
        <v>2</v>
      </c>
      <c r="C22" s="441">
        <v>0</v>
      </c>
      <c r="D22" s="107">
        <v>0</v>
      </c>
      <c r="E22" s="107"/>
      <c r="F22" s="107"/>
      <c r="G22" s="107"/>
      <c r="H22" s="441">
        <v>0</v>
      </c>
      <c r="I22" s="441">
        <v>0</v>
      </c>
      <c r="J22" s="441">
        <v>0</v>
      </c>
      <c r="K22" s="441">
        <v>0</v>
      </c>
      <c r="L22" s="107">
        <f t="shared" si="1"/>
        <v>8</v>
      </c>
      <c r="M22" s="108"/>
      <c r="N22" s="108">
        <f t="shared" si="0"/>
        <v>0</v>
      </c>
      <c r="O22" s="108">
        <f>'TTS O&amp;M Input'!$C$24</f>
        <v>403</v>
      </c>
      <c r="P22" s="109">
        <f t="shared" si="2"/>
        <v>3224</v>
      </c>
    </row>
    <row r="23" spans="1:16" x14ac:dyDescent="0.25">
      <c r="A23" s="106">
        <v>12</v>
      </c>
      <c r="B23" s="441">
        <v>2</v>
      </c>
      <c r="C23" s="441">
        <v>0</v>
      </c>
      <c r="D23" s="107">
        <v>0</v>
      </c>
      <c r="E23" s="107"/>
      <c r="F23" s="107"/>
      <c r="G23" s="107"/>
      <c r="H23" s="441">
        <v>0</v>
      </c>
      <c r="I23" s="441">
        <v>0</v>
      </c>
      <c r="J23" s="441">
        <v>0</v>
      </c>
      <c r="K23" s="441">
        <v>0</v>
      </c>
      <c r="L23" s="107">
        <f t="shared" si="1"/>
        <v>8</v>
      </c>
      <c r="M23" s="108"/>
      <c r="N23" s="108">
        <f t="shared" si="0"/>
        <v>0</v>
      </c>
      <c r="O23" s="108">
        <f>'TTS O&amp;M Input'!$C$24</f>
        <v>403</v>
      </c>
      <c r="P23" s="109">
        <f t="shared" si="2"/>
        <v>3224</v>
      </c>
    </row>
    <row r="24" spans="1:16" x14ac:dyDescent="0.25">
      <c r="A24" s="106">
        <v>13</v>
      </c>
      <c r="B24" s="441">
        <v>0</v>
      </c>
      <c r="C24" s="441">
        <v>2</v>
      </c>
      <c r="D24" s="107">
        <v>0</v>
      </c>
      <c r="E24" s="106"/>
      <c r="F24" s="106"/>
      <c r="G24" s="106"/>
      <c r="H24" s="441">
        <v>0</v>
      </c>
      <c r="I24" s="441">
        <v>0</v>
      </c>
      <c r="J24" s="441">
        <v>0</v>
      </c>
      <c r="K24" s="441">
        <v>0</v>
      </c>
      <c r="L24" s="107">
        <f t="shared" si="1"/>
        <v>4</v>
      </c>
      <c r="M24" s="108"/>
      <c r="N24" s="108">
        <f t="shared" si="0"/>
        <v>0</v>
      </c>
      <c r="O24" s="108">
        <f>'TTS O&amp;M Input'!$C$24</f>
        <v>403</v>
      </c>
      <c r="P24" s="109">
        <f t="shared" si="2"/>
        <v>1612</v>
      </c>
    </row>
    <row r="25" spans="1:16" x14ac:dyDescent="0.25">
      <c r="A25" s="106">
        <v>14</v>
      </c>
      <c r="B25" s="441">
        <v>0</v>
      </c>
      <c r="C25" s="441">
        <v>2</v>
      </c>
      <c r="D25" s="107">
        <v>0</v>
      </c>
      <c r="E25" s="106"/>
      <c r="F25" s="106"/>
      <c r="G25" s="106"/>
      <c r="H25" s="441">
        <v>0</v>
      </c>
      <c r="I25" s="441">
        <v>0</v>
      </c>
      <c r="J25" s="441">
        <v>0</v>
      </c>
      <c r="K25" s="441">
        <v>0</v>
      </c>
      <c r="L25" s="107">
        <f t="shared" si="1"/>
        <v>4</v>
      </c>
      <c r="M25" s="108"/>
      <c r="N25" s="108">
        <f t="shared" si="0"/>
        <v>0</v>
      </c>
      <c r="O25" s="108">
        <f>'TTS O&amp;M Input'!$C$24</f>
        <v>403</v>
      </c>
      <c r="P25" s="109">
        <f t="shared" si="2"/>
        <v>1612</v>
      </c>
    </row>
    <row r="26" spans="1:16" x14ac:dyDescent="0.25">
      <c r="A26" s="106">
        <v>15</v>
      </c>
      <c r="B26" s="441">
        <v>5</v>
      </c>
      <c r="C26" s="441">
        <v>2</v>
      </c>
      <c r="D26" s="441">
        <v>0</v>
      </c>
      <c r="E26" s="107"/>
      <c r="F26" s="107"/>
      <c r="G26" s="107"/>
      <c r="H26" s="441">
        <v>4</v>
      </c>
      <c r="I26" s="441">
        <v>0</v>
      </c>
      <c r="J26" s="441">
        <v>0</v>
      </c>
      <c r="K26" s="441">
        <v>3</v>
      </c>
      <c r="L26" s="107">
        <f t="shared" si="1"/>
        <v>76</v>
      </c>
      <c r="M26" s="108">
        <v>31000</v>
      </c>
      <c r="N26" s="108">
        <f t="shared" si="0"/>
        <v>407.89473684210526</v>
      </c>
      <c r="O26" s="108">
        <f>'TTS O&amp;M Input'!$C$24</f>
        <v>403</v>
      </c>
      <c r="P26" s="109">
        <f t="shared" si="2"/>
        <v>30628</v>
      </c>
    </row>
    <row r="27" spans="1:16" x14ac:dyDescent="0.25">
      <c r="A27" s="106">
        <v>16</v>
      </c>
      <c r="B27" s="441">
        <v>5</v>
      </c>
      <c r="C27" s="441">
        <v>2</v>
      </c>
      <c r="D27" s="441">
        <v>0</v>
      </c>
      <c r="E27" s="107"/>
      <c r="F27" s="107"/>
      <c r="G27" s="107"/>
      <c r="H27" s="441">
        <v>4</v>
      </c>
      <c r="I27" s="441">
        <v>0</v>
      </c>
      <c r="J27" s="441">
        <v>0</v>
      </c>
      <c r="K27" s="441">
        <v>3</v>
      </c>
      <c r="L27" s="107">
        <f t="shared" si="1"/>
        <v>76</v>
      </c>
      <c r="M27" s="108"/>
      <c r="N27" s="108">
        <f t="shared" si="0"/>
        <v>0</v>
      </c>
      <c r="O27" s="108">
        <f>'TTS O&amp;M Input'!$C$24</f>
        <v>403</v>
      </c>
      <c r="P27" s="109">
        <f t="shared" si="2"/>
        <v>30628</v>
      </c>
    </row>
    <row r="28" spans="1:16" x14ac:dyDescent="0.25">
      <c r="A28" s="106">
        <v>17</v>
      </c>
      <c r="B28" s="441">
        <v>5</v>
      </c>
      <c r="C28" s="441">
        <v>2</v>
      </c>
      <c r="D28" s="441">
        <v>0</v>
      </c>
      <c r="E28" s="107"/>
      <c r="F28" s="107"/>
      <c r="G28" s="107"/>
      <c r="H28" s="441">
        <v>4</v>
      </c>
      <c r="I28" s="441">
        <v>0</v>
      </c>
      <c r="J28" s="441">
        <v>0</v>
      </c>
      <c r="K28" s="441">
        <v>3</v>
      </c>
      <c r="L28" s="107">
        <f t="shared" si="1"/>
        <v>76</v>
      </c>
      <c r="M28" s="108"/>
      <c r="N28" s="108">
        <f t="shared" si="0"/>
        <v>0</v>
      </c>
      <c r="O28" s="108">
        <f>'TTS O&amp;M Input'!$C$24</f>
        <v>403</v>
      </c>
      <c r="P28" s="109">
        <f t="shared" si="2"/>
        <v>30628</v>
      </c>
    </row>
    <row r="29" spans="1:16" x14ac:dyDescent="0.25">
      <c r="A29" s="106">
        <v>18</v>
      </c>
      <c r="B29" s="441">
        <v>5</v>
      </c>
      <c r="C29" s="441">
        <v>2</v>
      </c>
      <c r="D29" s="441">
        <v>0</v>
      </c>
      <c r="E29" s="107"/>
      <c r="F29" s="107"/>
      <c r="G29" s="107"/>
      <c r="H29" s="441">
        <v>4</v>
      </c>
      <c r="I29" s="441">
        <v>0</v>
      </c>
      <c r="J29" s="441">
        <v>0</v>
      </c>
      <c r="K29" s="441">
        <v>3</v>
      </c>
      <c r="L29" s="107">
        <f t="shared" si="1"/>
        <v>76</v>
      </c>
      <c r="M29" s="108"/>
      <c r="N29" s="108">
        <f t="shared" si="0"/>
        <v>0</v>
      </c>
      <c r="O29" s="108">
        <f>'TTS O&amp;M Input'!$C$24</f>
        <v>403</v>
      </c>
      <c r="P29" s="109">
        <f t="shared" si="2"/>
        <v>30628</v>
      </c>
    </row>
    <row r="30" spans="1:16" x14ac:dyDescent="0.25">
      <c r="A30" s="106">
        <v>19</v>
      </c>
      <c r="B30" s="441">
        <v>5</v>
      </c>
      <c r="C30" s="441">
        <v>2</v>
      </c>
      <c r="D30" s="441">
        <v>0</v>
      </c>
      <c r="E30" s="107"/>
      <c r="F30" s="107"/>
      <c r="G30" s="107"/>
      <c r="H30" s="441">
        <v>4</v>
      </c>
      <c r="I30" s="441">
        <v>0</v>
      </c>
      <c r="J30" s="441">
        <v>0</v>
      </c>
      <c r="K30" s="441">
        <v>3</v>
      </c>
      <c r="L30" s="107">
        <f t="shared" si="1"/>
        <v>76</v>
      </c>
      <c r="M30" s="108"/>
      <c r="N30" s="108">
        <f t="shared" si="0"/>
        <v>0</v>
      </c>
      <c r="O30" s="108">
        <f>'TTS O&amp;M Input'!$C$24</f>
        <v>403</v>
      </c>
      <c r="P30" s="109">
        <f t="shared" si="2"/>
        <v>30628</v>
      </c>
    </row>
    <row r="31" spans="1:16" x14ac:dyDescent="0.25">
      <c r="A31" s="106">
        <v>20</v>
      </c>
      <c r="B31" s="441">
        <v>5</v>
      </c>
      <c r="C31" s="441">
        <v>2</v>
      </c>
      <c r="D31" s="441">
        <v>0</v>
      </c>
      <c r="E31" s="107"/>
      <c r="F31" s="107"/>
      <c r="G31" s="107"/>
      <c r="H31" s="441">
        <v>4</v>
      </c>
      <c r="I31" s="441">
        <v>0</v>
      </c>
      <c r="J31" s="441">
        <v>0</v>
      </c>
      <c r="K31" s="441">
        <v>3</v>
      </c>
      <c r="L31" s="107">
        <f t="shared" si="1"/>
        <v>76</v>
      </c>
      <c r="M31" s="108"/>
      <c r="N31" s="108">
        <f t="shared" si="0"/>
        <v>0</v>
      </c>
      <c r="O31" s="108">
        <f>'TTS O&amp;M Input'!$C$24</f>
        <v>403</v>
      </c>
      <c r="P31" s="109">
        <f t="shared" si="2"/>
        <v>30628</v>
      </c>
    </row>
    <row r="32" spans="1:16" x14ac:dyDescent="0.25">
      <c r="A32" s="106">
        <v>21</v>
      </c>
      <c r="B32" s="441">
        <v>5</v>
      </c>
      <c r="C32" s="441">
        <v>2</v>
      </c>
      <c r="D32" s="441">
        <v>0</v>
      </c>
      <c r="E32" s="107"/>
      <c r="F32" s="107"/>
      <c r="G32" s="107"/>
      <c r="H32" s="441">
        <v>4</v>
      </c>
      <c r="I32" s="441">
        <v>0</v>
      </c>
      <c r="J32" s="441">
        <v>0</v>
      </c>
      <c r="K32" s="441">
        <v>3</v>
      </c>
      <c r="L32" s="107">
        <f t="shared" si="1"/>
        <v>76</v>
      </c>
      <c r="M32" s="108"/>
      <c r="N32" s="108">
        <f t="shared" si="0"/>
        <v>0</v>
      </c>
      <c r="O32" s="108">
        <f>'TTS O&amp;M Input'!$C$24</f>
        <v>403</v>
      </c>
      <c r="P32" s="109">
        <f t="shared" si="2"/>
        <v>30628</v>
      </c>
    </row>
    <row r="33" spans="1:16" x14ac:dyDescent="0.25">
      <c r="A33" s="106">
        <v>22</v>
      </c>
      <c r="B33" s="441">
        <v>5</v>
      </c>
      <c r="C33" s="441">
        <v>2</v>
      </c>
      <c r="D33" s="441">
        <v>0</v>
      </c>
      <c r="E33" s="106"/>
      <c r="F33" s="107"/>
      <c r="G33" s="107"/>
      <c r="H33" s="441">
        <v>4</v>
      </c>
      <c r="I33" s="441">
        <v>0</v>
      </c>
      <c r="J33" s="441">
        <v>0</v>
      </c>
      <c r="K33" s="441">
        <v>3</v>
      </c>
      <c r="L33" s="107">
        <f t="shared" si="1"/>
        <v>76</v>
      </c>
      <c r="M33" s="108"/>
      <c r="N33" s="108">
        <f t="shared" si="0"/>
        <v>0</v>
      </c>
      <c r="O33" s="108">
        <f>'TTS O&amp;M Input'!$C$24</f>
        <v>403</v>
      </c>
      <c r="P33" s="109">
        <f t="shared" si="2"/>
        <v>30628</v>
      </c>
    </row>
    <row r="34" spans="1:16" x14ac:dyDescent="0.25">
      <c r="A34" s="106">
        <v>23</v>
      </c>
      <c r="B34" s="441">
        <v>5</v>
      </c>
      <c r="C34" s="441">
        <v>2</v>
      </c>
      <c r="D34" s="441">
        <v>0</v>
      </c>
      <c r="E34" s="106"/>
      <c r="F34" s="107"/>
      <c r="G34" s="107"/>
      <c r="H34" s="441">
        <v>4</v>
      </c>
      <c r="I34" s="441">
        <v>0</v>
      </c>
      <c r="J34" s="441">
        <v>0</v>
      </c>
      <c r="K34" s="441">
        <v>3</v>
      </c>
      <c r="L34" s="107">
        <f t="shared" si="1"/>
        <v>76</v>
      </c>
      <c r="M34" s="108"/>
      <c r="N34" s="108">
        <f t="shared" si="0"/>
        <v>0</v>
      </c>
      <c r="O34" s="108">
        <f>'TTS O&amp;M Input'!$C$24</f>
        <v>403</v>
      </c>
      <c r="P34" s="109">
        <f t="shared" si="2"/>
        <v>30628</v>
      </c>
    </row>
    <row r="35" spans="1:16" x14ac:dyDescent="0.25">
      <c r="A35" s="106">
        <v>24</v>
      </c>
      <c r="B35" s="441">
        <v>5</v>
      </c>
      <c r="C35" s="441">
        <v>2</v>
      </c>
      <c r="D35" s="441">
        <v>0</v>
      </c>
      <c r="E35" s="107"/>
      <c r="F35" s="107"/>
      <c r="G35" s="107"/>
      <c r="H35" s="441">
        <v>4</v>
      </c>
      <c r="I35" s="441">
        <v>0</v>
      </c>
      <c r="J35" s="441">
        <v>0</v>
      </c>
      <c r="K35" s="441">
        <v>3</v>
      </c>
      <c r="L35" s="107">
        <f t="shared" si="1"/>
        <v>76</v>
      </c>
      <c r="M35" s="108"/>
      <c r="N35" s="108">
        <f t="shared" si="0"/>
        <v>0</v>
      </c>
      <c r="O35" s="108">
        <f>'TTS O&amp;M Input'!$C$24</f>
        <v>403</v>
      </c>
      <c r="P35" s="109">
        <f t="shared" si="2"/>
        <v>30628</v>
      </c>
    </row>
    <row r="36" spans="1:16" x14ac:dyDescent="0.25">
      <c r="A36" s="106">
        <v>25</v>
      </c>
      <c r="B36" s="441">
        <v>5</v>
      </c>
      <c r="C36" s="441">
        <v>2</v>
      </c>
      <c r="D36" s="441">
        <v>0</v>
      </c>
      <c r="E36" s="107"/>
      <c r="F36" s="107"/>
      <c r="G36" s="107"/>
      <c r="H36" s="441">
        <v>4</v>
      </c>
      <c r="I36" s="441">
        <v>0</v>
      </c>
      <c r="J36" s="441">
        <v>0</v>
      </c>
      <c r="K36" s="441">
        <v>3</v>
      </c>
      <c r="L36" s="107">
        <f t="shared" si="1"/>
        <v>76</v>
      </c>
      <c r="M36" s="108">
        <v>18000</v>
      </c>
      <c r="N36" s="108">
        <f t="shared" si="0"/>
        <v>236.84210526315789</v>
      </c>
      <c r="O36" s="108">
        <f>'TTS O&amp;M Input'!$C$24</f>
        <v>403</v>
      </c>
      <c r="P36" s="109">
        <f t="shared" si="2"/>
        <v>30628</v>
      </c>
    </row>
    <row r="37" spans="1:16" x14ac:dyDescent="0.25">
      <c r="A37" s="106">
        <v>26</v>
      </c>
      <c r="B37" s="441">
        <v>5</v>
      </c>
      <c r="C37" s="441">
        <v>2</v>
      </c>
      <c r="D37" s="441">
        <v>0</v>
      </c>
      <c r="E37" s="107"/>
      <c r="F37" s="107"/>
      <c r="G37" s="107"/>
      <c r="H37" s="441">
        <v>4</v>
      </c>
      <c r="I37" s="441">
        <v>0</v>
      </c>
      <c r="J37" s="441">
        <v>0</v>
      </c>
      <c r="K37" s="441">
        <v>3</v>
      </c>
      <c r="L37" s="107">
        <f t="shared" si="1"/>
        <v>76</v>
      </c>
      <c r="M37" s="108"/>
      <c r="N37" s="108">
        <f t="shared" si="0"/>
        <v>0</v>
      </c>
      <c r="O37" s="108">
        <f>'TTS O&amp;M Input'!$C$24</f>
        <v>403</v>
      </c>
      <c r="P37" s="109">
        <f t="shared" si="2"/>
        <v>30628</v>
      </c>
    </row>
    <row r="38" spans="1:16" x14ac:dyDescent="0.25">
      <c r="A38" s="106">
        <v>27</v>
      </c>
      <c r="B38" s="441">
        <v>5</v>
      </c>
      <c r="C38" s="441">
        <v>2</v>
      </c>
      <c r="D38" s="441">
        <v>0</v>
      </c>
      <c r="E38" s="107"/>
      <c r="F38" s="107"/>
      <c r="G38" s="107"/>
      <c r="H38" s="441">
        <v>4</v>
      </c>
      <c r="I38" s="441">
        <v>0</v>
      </c>
      <c r="J38" s="441">
        <v>0</v>
      </c>
      <c r="K38" s="441">
        <v>3</v>
      </c>
      <c r="L38" s="107">
        <f t="shared" si="1"/>
        <v>76</v>
      </c>
      <c r="M38" s="108"/>
      <c r="N38" s="108">
        <f t="shared" si="0"/>
        <v>0</v>
      </c>
      <c r="O38" s="108">
        <f>'TTS O&amp;M Input'!$C$24</f>
        <v>403</v>
      </c>
      <c r="P38" s="109">
        <f t="shared" si="2"/>
        <v>30628</v>
      </c>
    </row>
    <row r="39" spans="1:16" x14ac:dyDescent="0.25">
      <c r="A39" s="106">
        <v>28</v>
      </c>
      <c r="B39" s="441">
        <v>5</v>
      </c>
      <c r="C39" s="441">
        <v>2</v>
      </c>
      <c r="D39" s="441">
        <v>0</v>
      </c>
      <c r="E39" s="107"/>
      <c r="F39" s="107"/>
      <c r="G39" s="107"/>
      <c r="H39" s="441">
        <v>4</v>
      </c>
      <c r="I39" s="441">
        <v>0</v>
      </c>
      <c r="J39" s="441">
        <v>0</v>
      </c>
      <c r="K39" s="441">
        <v>3</v>
      </c>
      <c r="L39" s="107">
        <f t="shared" si="1"/>
        <v>76</v>
      </c>
      <c r="M39" s="108"/>
      <c r="N39" s="108">
        <f t="shared" si="0"/>
        <v>0</v>
      </c>
      <c r="O39" s="108">
        <f>'TTS O&amp;M Input'!$C$24</f>
        <v>403</v>
      </c>
      <c r="P39" s="109">
        <f t="shared" si="2"/>
        <v>30628</v>
      </c>
    </row>
    <row r="40" spans="1:16" x14ac:dyDescent="0.25">
      <c r="A40" s="106">
        <v>29</v>
      </c>
      <c r="B40" s="441">
        <v>5</v>
      </c>
      <c r="C40" s="441">
        <v>2</v>
      </c>
      <c r="D40" s="441">
        <v>0</v>
      </c>
      <c r="E40" s="107"/>
      <c r="F40" s="107"/>
      <c r="G40" s="107"/>
      <c r="H40" s="441">
        <v>4</v>
      </c>
      <c r="I40" s="441">
        <v>0</v>
      </c>
      <c r="J40" s="441">
        <v>0</v>
      </c>
      <c r="K40" s="441">
        <v>3</v>
      </c>
      <c r="L40" s="107">
        <f t="shared" si="1"/>
        <v>76</v>
      </c>
      <c r="M40" s="108"/>
      <c r="N40" s="108">
        <f t="shared" si="0"/>
        <v>0</v>
      </c>
      <c r="O40" s="108">
        <f>'TTS O&amp;M Input'!$C$24</f>
        <v>403</v>
      </c>
      <c r="P40" s="109">
        <f t="shared" si="2"/>
        <v>30628</v>
      </c>
    </row>
    <row r="41" spans="1:16" x14ac:dyDescent="0.25">
      <c r="A41" s="106">
        <v>30</v>
      </c>
      <c r="B41" s="441">
        <v>5</v>
      </c>
      <c r="C41" s="441">
        <v>2</v>
      </c>
      <c r="D41" s="441">
        <v>0</v>
      </c>
      <c r="E41" s="107"/>
      <c r="F41" s="107"/>
      <c r="G41" s="107"/>
      <c r="H41" s="441">
        <v>4</v>
      </c>
      <c r="I41" s="441">
        <v>0</v>
      </c>
      <c r="J41" s="441">
        <v>0</v>
      </c>
      <c r="K41" s="441">
        <v>3</v>
      </c>
      <c r="L41" s="107">
        <f t="shared" si="1"/>
        <v>76</v>
      </c>
      <c r="M41" s="108"/>
      <c r="N41" s="108">
        <f t="shared" si="0"/>
        <v>0</v>
      </c>
      <c r="O41" s="108">
        <f>'TTS O&amp;M Input'!$C$24</f>
        <v>403</v>
      </c>
      <c r="P41" s="109">
        <f t="shared" si="2"/>
        <v>30628</v>
      </c>
    </row>
    <row r="42" spans="1:16" x14ac:dyDescent="0.25">
      <c r="A42" s="106">
        <v>31</v>
      </c>
      <c r="B42" s="441">
        <v>5</v>
      </c>
      <c r="C42" s="441">
        <v>2</v>
      </c>
      <c r="D42" s="441">
        <v>0</v>
      </c>
      <c r="E42" s="106"/>
      <c r="F42" s="107"/>
      <c r="G42" s="107"/>
      <c r="H42" s="441">
        <v>4</v>
      </c>
      <c r="I42" s="441">
        <v>0</v>
      </c>
      <c r="J42" s="441">
        <v>0</v>
      </c>
      <c r="K42" s="441">
        <v>3</v>
      </c>
      <c r="L42" s="107">
        <f t="shared" si="1"/>
        <v>76</v>
      </c>
      <c r="M42" s="108"/>
      <c r="N42" s="108">
        <f t="shared" si="0"/>
        <v>0</v>
      </c>
      <c r="O42" s="108">
        <f>'TTS O&amp;M Input'!$C$24</f>
        <v>403</v>
      </c>
      <c r="P42" s="109">
        <f t="shared" si="2"/>
        <v>30628</v>
      </c>
    </row>
    <row r="43" spans="1:16" x14ac:dyDescent="0.25">
      <c r="A43" s="106">
        <v>32</v>
      </c>
      <c r="B43" s="441">
        <v>5</v>
      </c>
      <c r="C43" s="441">
        <v>2</v>
      </c>
      <c r="D43" s="441">
        <v>0</v>
      </c>
      <c r="E43" s="106"/>
      <c r="F43" s="107"/>
      <c r="G43" s="107"/>
      <c r="H43" s="441">
        <v>4</v>
      </c>
      <c r="I43" s="441">
        <v>0</v>
      </c>
      <c r="J43" s="441">
        <v>0</v>
      </c>
      <c r="K43" s="441">
        <v>3</v>
      </c>
      <c r="L43" s="107">
        <f t="shared" si="1"/>
        <v>76</v>
      </c>
      <c r="M43" s="108">
        <v>18000</v>
      </c>
      <c r="N43" s="108">
        <f t="shared" si="0"/>
        <v>236.84210526315789</v>
      </c>
      <c r="O43" s="108">
        <f>'TTS O&amp;M Input'!$C$24</f>
        <v>403</v>
      </c>
      <c r="P43" s="109">
        <f t="shared" si="2"/>
        <v>30628</v>
      </c>
    </row>
    <row r="44" spans="1:16" x14ac:dyDescent="0.25">
      <c r="A44" s="106">
        <v>33</v>
      </c>
      <c r="B44" s="441">
        <v>0</v>
      </c>
      <c r="C44" s="441">
        <v>0</v>
      </c>
      <c r="D44" s="441">
        <v>7</v>
      </c>
      <c r="E44" s="107"/>
      <c r="F44" s="107"/>
      <c r="G44" s="107"/>
      <c r="H44" s="441">
        <v>0</v>
      </c>
      <c r="I44" s="441">
        <v>0</v>
      </c>
      <c r="J44" s="441">
        <v>4</v>
      </c>
      <c r="K44" s="441">
        <v>3</v>
      </c>
      <c r="L44" s="107">
        <f t="shared" si="1"/>
        <v>47</v>
      </c>
      <c r="M44" s="108"/>
      <c r="N44" s="108">
        <f t="shared" si="0"/>
        <v>0</v>
      </c>
      <c r="O44" s="108">
        <f>'TTS O&amp;M Input'!$C$24</f>
        <v>403</v>
      </c>
      <c r="P44" s="109">
        <f t="shared" si="2"/>
        <v>18941</v>
      </c>
    </row>
    <row r="45" spans="1:16" x14ac:dyDescent="0.25">
      <c r="A45" s="106">
        <v>34</v>
      </c>
      <c r="B45" s="441">
        <v>0</v>
      </c>
      <c r="C45" s="441">
        <v>0</v>
      </c>
      <c r="D45" s="441">
        <v>7</v>
      </c>
      <c r="E45" s="107"/>
      <c r="F45" s="107"/>
      <c r="G45" s="107"/>
      <c r="H45" s="441">
        <v>0</v>
      </c>
      <c r="I45" s="441">
        <v>0</v>
      </c>
      <c r="J45" s="441">
        <v>4</v>
      </c>
      <c r="K45" s="441">
        <v>3</v>
      </c>
      <c r="L45" s="107">
        <f t="shared" si="1"/>
        <v>47</v>
      </c>
      <c r="M45" s="108"/>
      <c r="N45" s="108">
        <f t="shared" si="0"/>
        <v>0</v>
      </c>
      <c r="O45" s="108">
        <f>'TTS O&amp;M Input'!$C$24</f>
        <v>403</v>
      </c>
      <c r="P45" s="109">
        <f t="shared" si="2"/>
        <v>18941</v>
      </c>
    </row>
    <row r="46" spans="1:16" x14ac:dyDescent="0.25">
      <c r="A46" s="106">
        <v>35</v>
      </c>
      <c r="B46" s="441">
        <v>0</v>
      </c>
      <c r="C46" s="441">
        <v>0</v>
      </c>
      <c r="D46" s="441">
        <v>7</v>
      </c>
      <c r="E46" s="107"/>
      <c r="F46" s="107"/>
      <c r="G46" s="107"/>
      <c r="H46" s="441">
        <v>0</v>
      </c>
      <c r="I46" s="441">
        <v>0</v>
      </c>
      <c r="J46" s="441">
        <v>4</v>
      </c>
      <c r="K46" s="441">
        <v>3</v>
      </c>
      <c r="L46" s="107">
        <f t="shared" si="1"/>
        <v>47</v>
      </c>
      <c r="M46" s="108"/>
      <c r="N46" s="108">
        <f t="shared" si="0"/>
        <v>0</v>
      </c>
      <c r="O46" s="108">
        <f>'TTS O&amp;M Input'!$C$24</f>
        <v>403</v>
      </c>
      <c r="P46" s="109">
        <f t="shared" si="2"/>
        <v>18941</v>
      </c>
    </row>
    <row r="47" spans="1:16" x14ac:dyDescent="0.25">
      <c r="A47" s="106">
        <v>36</v>
      </c>
      <c r="B47" s="441">
        <v>0</v>
      </c>
      <c r="C47" s="441">
        <v>0</v>
      </c>
      <c r="D47" s="441">
        <v>7</v>
      </c>
      <c r="E47" s="107"/>
      <c r="F47" s="107"/>
      <c r="G47" s="107"/>
      <c r="H47" s="441">
        <v>0</v>
      </c>
      <c r="I47" s="441">
        <v>0</v>
      </c>
      <c r="J47" s="441">
        <v>4</v>
      </c>
      <c r="K47" s="441">
        <v>3</v>
      </c>
      <c r="L47" s="107">
        <f t="shared" si="1"/>
        <v>47</v>
      </c>
      <c r="M47" s="108"/>
      <c r="N47" s="108">
        <f t="shared" si="0"/>
        <v>0</v>
      </c>
      <c r="O47" s="108">
        <f>'TTS O&amp;M Input'!$C$24</f>
        <v>403</v>
      </c>
      <c r="P47" s="109">
        <f t="shared" si="2"/>
        <v>18941</v>
      </c>
    </row>
    <row r="48" spans="1:16" x14ac:dyDescent="0.25">
      <c r="A48" s="106">
        <v>37</v>
      </c>
      <c r="B48" s="441">
        <v>0</v>
      </c>
      <c r="C48" s="441">
        <v>0</v>
      </c>
      <c r="D48" s="441">
        <v>7</v>
      </c>
      <c r="E48" s="107"/>
      <c r="F48" s="107"/>
      <c r="G48" s="107"/>
      <c r="H48" s="441">
        <v>0</v>
      </c>
      <c r="I48" s="441">
        <v>0</v>
      </c>
      <c r="J48" s="441">
        <v>4</v>
      </c>
      <c r="K48" s="441">
        <v>3</v>
      </c>
      <c r="L48" s="107">
        <f t="shared" si="1"/>
        <v>47</v>
      </c>
      <c r="M48" s="108"/>
      <c r="N48" s="108">
        <f t="shared" si="0"/>
        <v>0</v>
      </c>
      <c r="O48" s="108">
        <f>'TTS O&amp;M Input'!$C$24</f>
        <v>403</v>
      </c>
      <c r="P48" s="109">
        <f t="shared" si="2"/>
        <v>18941</v>
      </c>
    </row>
    <row r="49" spans="1:16" x14ac:dyDescent="0.25">
      <c r="A49" s="106">
        <v>38</v>
      </c>
      <c r="B49" s="441">
        <v>0</v>
      </c>
      <c r="C49" s="441">
        <v>0</v>
      </c>
      <c r="D49" s="441">
        <v>7</v>
      </c>
      <c r="E49" s="107"/>
      <c r="F49" s="107"/>
      <c r="G49" s="107"/>
      <c r="H49" s="441">
        <v>0</v>
      </c>
      <c r="I49" s="441">
        <v>0</v>
      </c>
      <c r="J49" s="441">
        <v>4</v>
      </c>
      <c r="K49" s="441">
        <v>3</v>
      </c>
      <c r="L49" s="107">
        <f t="shared" si="1"/>
        <v>47</v>
      </c>
      <c r="M49" s="108"/>
      <c r="N49" s="108">
        <f t="shared" si="0"/>
        <v>0</v>
      </c>
      <c r="O49" s="108">
        <f>'TTS O&amp;M Input'!$C$24</f>
        <v>403</v>
      </c>
      <c r="P49" s="109">
        <f t="shared" si="2"/>
        <v>18941</v>
      </c>
    </row>
    <row r="50" spans="1:16" x14ac:dyDescent="0.25">
      <c r="A50" s="106">
        <v>39</v>
      </c>
      <c r="B50" s="441">
        <v>0</v>
      </c>
      <c r="C50" s="441">
        <v>0</v>
      </c>
      <c r="D50" s="441">
        <v>7</v>
      </c>
      <c r="E50" s="107"/>
      <c r="F50" s="107"/>
      <c r="G50" s="107"/>
      <c r="H50" s="441">
        <v>0</v>
      </c>
      <c r="I50" s="441">
        <v>0</v>
      </c>
      <c r="J50" s="441">
        <v>4</v>
      </c>
      <c r="K50" s="441">
        <v>3</v>
      </c>
      <c r="L50" s="107">
        <f t="shared" si="1"/>
        <v>47</v>
      </c>
      <c r="M50" s="108"/>
      <c r="N50" s="108">
        <f t="shared" si="0"/>
        <v>0</v>
      </c>
      <c r="O50" s="108">
        <f>'TTS O&amp;M Input'!$C$24</f>
        <v>403</v>
      </c>
      <c r="P50" s="109">
        <f t="shared" si="2"/>
        <v>18941</v>
      </c>
    </row>
    <row r="51" spans="1:16" x14ac:dyDescent="0.25">
      <c r="A51" s="106">
        <v>40</v>
      </c>
      <c r="B51" s="441">
        <v>0</v>
      </c>
      <c r="C51" s="441">
        <v>0</v>
      </c>
      <c r="D51" s="441">
        <v>7</v>
      </c>
      <c r="E51" s="106"/>
      <c r="F51" s="106"/>
      <c r="G51" s="107"/>
      <c r="H51" s="441">
        <v>0</v>
      </c>
      <c r="I51" s="441">
        <v>0</v>
      </c>
      <c r="J51" s="441">
        <v>4</v>
      </c>
      <c r="K51" s="441">
        <v>3</v>
      </c>
      <c r="L51" s="107">
        <f t="shared" si="1"/>
        <v>47</v>
      </c>
      <c r="M51" s="108">
        <v>18000</v>
      </c>
      <c r="N51" s="108">
        <f t="shared" si="0"/>
        <v>382.97872340425533</v>
      </c>
      <c r="O51" s="108">
        <f>'TTS O&amp;M Input'!$C$24</f>
        <v>403</v>
      </c>
      <c r="P51" s="109">
        <f t="shared" si="2"/>
        <v>18941</v>
      </c>
    </row>
    <row r="52" spans="1:16" x14ac:dyDescent="0.25">
      <c r="A52" s="106">
        <v>41</v>
      </c>
      <c r="B52" s="441">
        <v>0</v>
      </c>
      <c r="C52" s="441">
        <v>0</v>
      </c>
      <c r="D52" s="441">
        <v>7</v>
      </c>
      <c r="E52" s="106"/>
      <c r="F52" s="106"/>
      <c r="G52" s="107"/>
      <c r="H52" s="441">
        <v>0</v>
      </c>
      <c r="I52" s="441">
        <v>0</v>
      </c>
      <c r="J52" s="441">
        <v>4</v>
      </c>
      <c r="K52" s="441">
        <v>3</v>
      </c>
      <c r="L52" s="107">
        <f t="shared" si="1"/>
        <v>47</v>
      </c>
      <c r="M52" s="108"/>
      <c r="N52" s="108">
        <f t="shared" si="0"/>
        <v>0</v>
      </c>
      <c r="O52" s="108">
        <f>'TTS O&amp;M Input'!$C$24</f>
        <v>403</v>
      </c>
      <c r="P52" s="109">
        <f t="shared" si="2"/>
        <v>18941</v>
      </c>
    </row>
    <row r="53" spans="1:16" x14ac:dyDescent="0.25">
      <c r="A53" s="106">
        <v>42</v>
      </c>
      <c r="B53" s="441">
        <v>0</v>
      </c>
      <c r="C53" s="441">
        <v>0</v>
      </c>
      <c r="D53" s="441">
        <v>7</v>
      </c>
      <c r="E53" s="106"/>
      <c r="F53" s="106"/>
      <c r="G53" s="107"/>
      <c r="H53" s="441">
        <v>0</v>
      </c>
      <c r="I53" s="441">
        <v>0</v>
      </c>
      <c r="J53" s="441">
        <v>4</v>
      </c>
      <c r="K53" s="441">
        <v>3</v>
      </c>
      <c r="L53" s="107">
        <f t="shared" si="1"/>
        <v>47</v>
      </c>
      <c r="M53" s="108"/>
      <c r="N53" s="108">
        <f t="shared" si="0"/>
        <v>0</v>
      </c>
      <c r="O53" s="108">
        <f>'TTS O&amp;M Input'!$C$24</f>
        <v>403</v>
      </c>
      <c r="P53" s="109">
        <f t="shared" si="2"/>
        <v>18941</v>
      </c>
    </row>
    <row r="54" spans="1:16" x14ac:dyDescent="0.25">
      <c r="A54" s="106">
        <v>43</v>
      </c>
      <c r="B54" s="441">
        <v>0</v>
      </c>
      <c r="C54" s="441">
        <v>0</v>
      </c>
      <c r="D54" s="441">
        <v>7</v>
      </c>
      <c r="E54" s="106"/>
      <c r="F54" s="106"/>
      <c r="G54" s="107"/>
      <c r="H54" s="441">
        <v>0</v>
      </c>
      <c r="I54" s="441">
        <v>0</v>
      </c>
      <c r="J54" s="441">
        <v>4</v>
      </c>
      <c r="K54" s="441">
        <v>3</v>
      </c>
      <c r="L54" s="107">
        <f t="shared" si="1"/>
        <v>47</v>
      </c>
      <c r="M54" s="108"/>
      <c r="N54" s="108">
        <f t="shared" si="0"/>
        <v>0</v>
      </c>
      <c r="O54" s="108">
        <f>'TTS O&amp;M Input'!$C$24</f>
        <v>403</v>
      </c>
      <c r="P54" s="109">
        <f t="shared" si="2"/>
        <v>18941</v>
      </c>
    </row>
    <row r="55" spans="1:16" x14ac:dyDescent="0.25">
      <c r="A55" s="106">
        <v>44</v>
      </c>
      <c r="B55" s="441">
        <v>0</v>
      </c>
      <c r="C55" s="441">
        <v>0</v>
      </c>
      <c r="D55" s="441">
        <v>7</v>
      </c>
      <c r="E55" s="106"/>
      <c r="F55" s="106"/>
      <c r="G55" s="107"/>
      <c r="H55" s="441">
        <v>0</v>
      </c>
      <c r="I55" s="441">
        <v>0</v>
      </c>
      <c r="J55" s="441">
        <v>4</v>
      </c>
      <c r="K55" s="441">
        <v>3</v>
      </c>
      <c r="L55" s="107">
        <f t="shared" si="1"/>
        <v>47</v>
      </c>
      <c r="M55" s="108"/>
      <c r="N55" s="108">
        <f t="shared" si="0"/>
        <v>0</v>
      </c>
      <c r="O55" s="108">
        <f>'TTS O&amp;M Input'!$C$24</f>
        <v>403</v>
      </c>
      <c r="P55" s="109">
        <f t="shared" si="2"/>
        <v>18941</v>
      </c>
    </row>
    <row r="56" spans="1:16" x14ac:dyDescent="0.25">
      <c r="A56" s="106">
        <v>45</v>
      </c>
      <c r="B56" s="441">
        <v>0</v>
      </c>
      <c r="C56" s="441">
        <v>0</v>
      </c>
      <c r="D56" s="441">
        <v>7</v>
      </c>
      <c r="E56" s="106"/>
      <c r="F56" s="106"/>
      <c r="G56" s="107"/>
      <c r="H56" s="441">
        <v>0</v>
      </c>
      <c r="I56" s="441">
        <v>0</v>
      </c>
      <c r="J56" s="441">
        <v>4</v>
      </c>
      <c r="K56" s="441">
        <v>3</v>
      </c>
      <c r="L56" s="107">
        <f t="shared" si="1"/>
        <v>47</v>
      </c>
      <c r="M56" s="108"/>
      <c r="N56" s="108">
        <f t="shared" si="0"/>
        <v>0</v>
      </c>
      <c r="O56" s="108">
        <f>'TTS O&amp;M Input'!$C$24</f>
        <v>403</v>
      </c>
      <c r="P56" s="109">
        <f t="shared" si="2"/>
        <v>18941</v>
      </c>
    </row>
    <row r="57" spans="1:16" x14ac:dyDescent="0.25">
      <c r="A57" s="106">
        <v>46</v>
      </c>
      <c r="B57" s="441">
        <v>0</v>
      </c>
      <c r="C57" s="441">
        <v>0</v>
      </c>
      <c r="D57" s="441">
        <v>7</v>
      </c>
      <c r="E57" s="106"/>
      <c r="F57" s="106"/>
      <c r="G57" s="107"/>
      <c r="H57" s="441">
        <v>0</v>
      </c>
      <c r="I57" s="441">
        <v>0</v>
      </c>
      <c r="J57" s="441">
        <v>4</v>
      </c>
      <c r="K57" s="441">
        <v>3</v>
      </c>
      <c r="L57" s="107">
        <f t="shared" si="1"/>
        <v>47</v>
      </c>
      <c r="M57" s="108"/>
      <c r="N57" s="108">
        <f t="shared" si="0"/>
        <v>0</v>
      </c>
      <c r="O57" s="108">
        <f>'TTS O&amp;M Input'!$C$24</f>
        <v>403</v>
      </c>
      <c r="P57" s="109">
        <f t="shared" si="2"/>
        <v>18941</v>
      </c>
    </row>
    <row r="58" spans="1:16" x14ac:dyDescent="0.25">
      <c r="A58" s="106">
        <v>47</v>
      </c>
      <c r="B58" s="441">
        <v>0</v>
      </c>
      <c r="C58" s="441">
        <v>0</v>
      </c>
      <c r="D58" s="441">
        <v>7</v>
      </c>
      <c r="E58" s="106"/>
      <c r="F58" s="106"/>
      <c r="G58" s="107"/>
      <c r="H58" s="441">
        <v>0</v>
      </c>
      <c r="I58" s="441">
        <v>0</v>
      </c>
      <c r="J58" s="441">
        <v>4</v>
      </c>
      <c r="K58" s="441">
        <v>3</v>
      </c>
      <c r="L58" s="107">
        <f t="shared" si="1"/>
        <v>47</v>
      </c>
      <c r="M58" s="108"/>
      <c r="N58" s="108">
        <f t="shared" si="0"/>
        <v>0</v>
      </c>
      <c r="O58" s="108">
        <f>'TTS O&amp;M Input'!$C$24</f>
        <v>403</v>
      </c>
      <c r="P58" s="109">
        <f t="shared" si="2"/>
        <v>18941</v>
      </c>
    </row>
    <row r="59" spans="1:16" x14ac:dyDescent="0.25">
      <c r="A59" s="106">
        <v>48</v>
      </c>
      <c r="B59" s="441">
        <v>0</v>
      </c>
      <c r="C59" s="441">
        <v>0</v>
      </c>
      <c r="D59" s="441">
        <v>7</v>
      </c>
      <c r="E59" s="106"/>
      <c r="F59" s="106"/>
      <c r="G59" s="107"/>
      <c r="H59" s="441">
        <v>0</v>
      </c>
      <c r="I59" s="441">
        <v>0</v>
      </c>
      <c r="J59" s="441">
        <v>4</v>
      </c>
      <c r="K59" s="441">
        <v>3</v>
      </c>
      <c r="L59" s="107">
        <f t="shared" si="1"/>
        <v>47</v>
      </c>
      <c r="M59" s="108"/>
      <c r="N59" s="108">
        <f t="shared" si="0"/>
        <v>0</v>
      </c>
      <c r="O59" s="108">
        <f>'TTS O&amp;M Input'!$C$24</f>
        <v>403</v>
      </c>
      <c r="P59" s="109">
        <f t="shared" si="2"/>
        <v>18941</v>
      </c>
    </row>
    <row r="60" spans="1:16" x14ac:dyDescent="0.25">
      <c r="A60" s="106">
        <v>49</v>
      </c>
      <c r="B60" s="441">
        <v>0</v>
      </c>
      <c r="C60" s="441">
        <v>0</v>
      </c>
      <c r="D60" s="441">
        <v>7</v>
      </c>
      <c r="E60" s="106"/>
      <c r="F60" s="106"/>
      <c r="G60" s="107"/>
      <c r="H60" s="441">
        <v>0</v>
      </c>
      <c r="I60" s="441">
        <v>0</v>
      </c>
      <c r="J60" s="441">
        <v>4</v>
      </c>
      <c r="K60" s="441">
        <v>3</v>
      </c>
      <c r="L60" s="107">
        <f t="shared" si="1"/>
        <v>47</v>
      </c>
      <c r="M60" s="108"/>
      <c r="N60" s="108">
        <f t="shared" si="0"/>
        <v>0</v>
      </c>
      <c r="O60" s="108">
        <f>'TTS O&amp;M Input'!$C$24</f>
        <v>403</v>
      </c>
      <c r="P60" s="109">
        <f t="shared" si="2"/>
        <v>18941</v>
      </c>
    </row>
    <row r="61" spans="1:16" x14ac:dyDescent="0.25">
      <c r="A61" s="106">
        <v>50</v>
      </c>
      <c r="B61" s="441">
        <v>0</v>
      </c>
      <c r="C61" s="441">
        <v>0</v>
      </c>
      <c r="D61" s="441">
        <v>7</v>
      </c>
      <c r="E61" s="106"/>
      <c r="F61" s="106"/>
      <c r="G61" s="107"/>
      <c r="H61" s="441">
        <v>0</v>
      </c>
      <c r="I61" s="441">
        <v>0</v>
      </c>
      <c r="J61" s="441">
        <v>4</v>
      </c>
      <c r="K61" s="441">
        <v>3</v>
      </c>
      <c r="L61" s="107">
        <f t="shared" si="1"/>
        <v>47</v>
      </c>
      <c r="M61" s="108"/>
      <c r="N61" s="108">
        <f t="shared" si="0"/>
        <v>0</v>
      </c>
      <c r="O61" s="108">
        <f>'TTS O&amp;M Input'!$C$24</f>
        <v>403</v>
      </c>
      <c r="P61" s="109">
        <f t="shared" si="2"/>
        <v>18941</v>
      </c>
    </row>
    <row r="62" spans="1:16" x14ac:dyDescent="0.25">
      <c r="A62" s="106">
        <v>51</v>
      </c>
      <c r="B62" s="441">
        <v>0</v>
      </c>
      <c r="C62" s="441">
        <v>0</v>
      </c>
      <c r="D62" s="441">
        <v>7</v>
      </c>
      <c r="E62" s="106"/>
      <c r="F62" s="106"/>
      <c r="G62" s="107"/>
      <c r="H62" s="441">
        <v>0</v>
      </c>
      <c r="I62" s="441">
        <v>0</v>
      </c>
      <c r="J62" s="441">
        <v>4</v>
      </c>
      <c r="K62" s="441">
        <v>3</v>
      </c>
      <c r="L62" s="107">
        <f t="shared" si="1"/>
        <v>47</v>
      </c>
      <c r="M62" s="108"/>
      <c r="N62" s="108">
        <f t="shared" si="0"/>
        <v>0</v>
      </c>
      <c r="O62" s="108">
        <f>'TTS O&amp;M Input'!$C$24</f>
        <v>403</v>
      </c>
      <c r="P62" s="109">
        <f t="shared" si="2"/>
        <v>18941</v>
      </c>
    </row>
    <row r="63" spans="1:16" x14ac:dyDescent="0.25">
      <c r="A63" s="106">
        <v>52</v>
      </c>
      <c r="B63" s="441">
        <v>0</v>
      </c>
      <c r="C63" s="441">
        <v>0</v>
      </c>
      <c r="D63" s="441">
        <v>7</v>
      </c>
      <c r="E63" s="106"/>
      <c r="F63" s="106"/>
      <c r="G63" s="107"/>
      <c r="H63" s="441">
        <v>0</v>
      </c>
      <c r="I63" s="441">
        <v>0</v>
      </c>
      <c r="J63" s="441">
        <v>4</v>
      </c>
      <c r="K63" s="441">
        <v>3</v>
      </c>
      <c r="L63" s="107">
        <f t="shared" si="1"/>
        <v>47</v>
      </c>
      <c r="M63" s="108"/>
      <c r="N63" s="108">
        <f t="shared" si="0"/>
        <v>0</v>
      </c>
      <c r="O63" s="108">
        <f>'TTS O&amp;M Input'!$C$24</f>
        <v>403</v>
      </c>
      <c r="P63" s="109">
        <f t="shared" si="2"/>
        <v>18941</v>
      </c>
    </row>
    <row r="64" spans="1:16" x14ac:dyDescent="0.25">
      <c r="A64" s="106">
        <v>53</v>
      </c>
      <c r="B64" s="441">
        <v>0</v>
      </c>
      <c r="C64" s="441">
        <v>0</v>
      </c>
      <c r="D64" s="441">
        <v>7</v>
      </c>
      <c r="E64" s="106"/>
      <c r="F64" s="106"/>
      <c r="G64" s="107"/>
      <c r="H64" s="441">
        <v>0</v>
      </c>
      <c r="I64" s="441">
        <v>0</v>
      </c>
      <c r="J64" s="441">
        <v>4</v>
      </c>
      <c r="K64" s="441">
        <v>3</v>
      </c>
      <c r="L64" s="107">
        <f t="shared" si="1"/>
        <v>47</v>
      </c>
      <c r="M64" s="108"/>
      <c r="N64" s="108">
        <f t="shared" si="0"/>
        <v>0</v>
      </c>
      <c r="O64" s="108">
        <f>'TTS O&amp;M Input'!$C$24</f>
        <v>403</v>
      </c>
      <c r="P64" s="109">
        <f t="shared" si="2"/>
        <v>18941</v>
      </c>
    </row>
    <row r="65" spans="1:16" x14ac:dyDescent="0.25">
      <c r="A65" s="106">
        <v>54</v>
      </c>
      <c r="B65" s="441">
        <v>0</v>
      </c>
      <c r="C65" s="441">
        <v>0</v>
      </c>
      <c r="D65" s="441">
        <v>7</v>
      </c>
      <c r="E65" s="106"/>
      <c r="F65" s="106"/>
      <c r="G65" s="107"/>
      <c r="H65" s="441">
        <v>0</v>
      </c>
      <c r="I65" s="441">
        <v>0</v>
      </c>
      <c r="J65" s="441">
        <v>4</v>
      </c>
      <c r="K65" s="441">
        <v>3</v>
      </c>
      <c r="L65" s="107">
        <f t="shared" si="1"/>
        <v>47</v>
      </c>
      <c r="M65" s="108"/>
      <c r="N65" s="108">
        <f t="shared" si="0"/>
        <v>0</v>
      </c>
      <c r="O65" s="108">
        <f>'TTS O&amp;M Input'!$C$24</f>
        <v>403</v>
      </c>
      <c r="P65" s="109">
        <f t="shared" si="2"/>
        <v>18941</v>
      </c>
    </row>
    <row r="66" spans="1:16" x14ac:dyDescent="0.25">
      <c r="A66" s="106">
        <v>55</v>
      </c>
      <c r="B66" s="441">
        <v>0</v>
      </c>
      <c r="C66" s="441">
        <v>0</v>
      </c>
      <c r="D66" s="441">
        <v>7</v>
      </c>
      <c r="E66" s="106"/>
      <c r="F66" s="106"/>
      <c r="G66" s="107"/>
      <c r="H66" s="441">
        <v>0</v>
      </c>
      <c r="I66" s="441">
        <v>0</v>
      </c>
      <c r="J66" s="441">
        <v>4</v>
      </c>
      <c r="K66" s="441">
        <v>3</v>
      </c>
      <c r="L66" s="107">
        <f t="shared" si="1"/>
        <v>47</v>
      </c>
      <c r="M66" s="108"/>
      <c r="N66" s="108">
        <f t="shared" si="0"/>
        <v>0</v>
      </c>
      <c r="O66" s="108">
        <f>'TTS O&amp;M Input'!$C$24</f>
        <v>403</v>
      </c>
      <c r="P66" s="109">
        <f t="shared" si="2"/>
        <v>18941</v>
      </c>
    </row>
    <row r="67" spans="1:16" x14ac:dyDescent="0.25">
      <c r="A67" s="106">
        <v>56</v>
      </c>
      <c r="B67" s="441">
        <v>0</v>
      </c>
      <c r="C67" s="441">
        <v>0</v>
      </c>
      <c r="D67" s="441">
        <v>7</v>
      </c>
      <c r="E67" s="106"/>
      <c r="F67" s="106"/>
      <c r="G67" s="107"/>
      <c r="H67" s="441">
        <v>0</v>
      </c>
      <c r="I67" s="441">
        <v>0</v>
      </c>
      <c r="J67" s="441">
        <v>4</v>
      </c>
      <c r="K67" s="441">
        <v>3</v>
      </c>
      <c r="L67" s="107">
        <f t="shared" si="1"/>
        <v>47</v>
      </c>
      <c r="M67" s="108"/>
      <c r="N67" s="108">
        <f t="shared" si="0"/>
        <v>0</v>
      </c>
      <c r="O67" s="108">
        <f>'TTS O&amp;M Input'!$C$24</f>
        <v>403</v>
      </c>
      <c r="P67" s="109">
        <f t="shared" si="2"/>
        <v>18941</v>
      </c>
    </row>
    <row r="68" spans="1:16" x14ac:dyDescent="0.25">
      <c r="A68" s="106">
        <v>57</v>
      </c>
      <c r="B68" s="441">
        <v>0</v>
      </c>
      <c r="C68" s="441">
        <v>0</v>
      </c>
      <c r="D68" s="441">
        <v>7</v>
      </c>
      <c r="E68" s="106"/>
      <c r="F68" s="106"/>
      <c r="G68" s="107"/>
      <c r="H68" s="441">
        <v>0</v>
      </c>
      <c r="I68" s="441">
        <v>0</v>
      </c>
      <c r="J68" s="441">
        <v>4</v>
      </c>
      <c r="K68" s="441">
        <v>3</v>
      </c>
      <c r="L68" s="107">
        <f t="shared" si="1"/>
        <v>47</v>
      </c>
      <c r="M68" s="108"/>
      <c r="N68" s="108">
        <f t="shared" si="0"/>
        <v>0</v>
      </c>
      <c r="O68" s="108">
        <f>'TTS O&amp;M Input'!$C$24</f>
        <v>403</v>
      </c>
      <c r="P68" s="109">
        <f t="shared" si="2"/>
        <v>18941</v>
      </c>
    </row>
    <row r="69" spans="1:16" x14ac:dyDescent="0.25">
      <c r="A69" s="106">
        <v>58</v>
      </c>
      <c r="B69" s="441">
        <v>0</v>
      </c>
      <c r="C69" s="441">
        <v>0</v>
      </c>
      <c r="D69" s="441">
        <v>7</v>
      </c>
      <c r="E69" s="106"/>
      <c r="F69" s="106"/>
      <c r="G69" s="107"/>
      <c r="H69" s="441">
        <v>0</v>
      </c>
      <c r="I69" s="441">
        <v>0</v>
      </c>
      <c r="J69" s="441">
        <v>4</v>
      </c>
      <c r="K69" s="441">
        <v>3</v>
      </c>
      <c r="L69" s="107">
        <f t="shared" si="1"/>
        <v>47</v>
      </c>
      <c r="M69" s="108"/>
      <c r="N69" s="108">
        <f t="shared" si="0"/>
        <v>0</v>
      </c>
      <c r="O69" s="108">
        <f>'TTS O&amp;M Input'!$C$24</f>
        <v>403</v>
      </c>
      <c r="P69" s="109">
        <f t="shared" si="2"/>
        <v>18941</v>
      </c>
    </row>
    <row r="70" spans="1:16" x14ac:dyDescent="0.25">
      <c r="A70" s="106">
        <v>59</v>
      </c>
      <c r="B70" s="441">
        <v>0</v>
      </c>
      <c r="C70" s="441">
        <v>0</v>
      </c>
      <c r="D70" s="441">
        <v>7</v>
      </c>
      <c r="E70" s="106"/>
      <c r="F70" s="106"/>
      <c r="G70" s="107"/>
      <c r="H70" s="441">
        <v>0</v>
      </c>
      <c r="I70" s="441">
        <v>0</v>
      </c>
      <c r="J70" s="441">
        <v>4</v>
      </c>
      <c r="K70" s="441">
        <v>3</v>
      </c>
      <c r="L70" s="107">
        <f t="shared" si="1"/>
        <v>47</v>
      </c>
      <c r="M70" s="108"/>
      <c r="N70" s="108">
        <f t="shared" si="0"/>
        <v>0</v>
      </c>
      <c r="O70" s="108">
        <f>'TTS O&amp;M Input'!$C$24</f>
        <v>403</v>
      </c>
      <c r="P70" s="109">
        <f t="shared" si="2"/>
        <v>18941</v>
      </c>
    </row>
    <row r="71" spans="1:16" x14ac:dyDescent="0.25">
      <c r="A71" s="106">
        <v>60</v>
      </c>
      <c r="B71" s="441">
        <v>0</v>
      </c>
      <c r="C71" s="441">
        <v>0</v>
      </c>
      <c r="D71" s="441">
        <v>7</v>
      </c>
      <c r="E71" s="106"/>
      <c r="F71" s="106"/>
      <c r="G71" s="107"/>
      <c r="H71" s="441">
        <v>0</v>
      </c>
      <c r="I71" s="441">
        <v>0</v>
      </c>
      <c r="J71" s="441">
        <v>4</v>
      </c>
      <c r="K71" s="441">
        <v>3</v>
      </c>
      <c r="L71" s="107">
        <f t="shared" si="1"/>
        <v>47</v>
      </c>
      <c r="M71" s="108"/>
      <c r="N71" s="108">
        <f t="shared" si="0"/>
        <v>0</v>
      </c>
      <c r="O71" s="108">
        <f>'TTS O&amp;M Input'!$C$24</f>
        <v>403</v>
      </c>
      <c r="P71" s="109">
        <f t="shared" si="2"/>
        <v>18941</v>
      </c>
    </row>
    <row r="72" spans="1:16" x14ac:dyDescent="0.25">
      <c r="A72" s="106">
        <v>61</v>
      </c>
      <c r="B72" s="441">
        <v>0</v>
      </c>
      <c r="C72" s="441">
        <v>0</v>
      </c>
      <c r="D72" s="441">
        <v>7</v>
      </c>
      <c r="E72" s="106"/>
      <c r="F72" s="106"/>
      <c r="G72" s="107"/>
      <c r="H72" s="441">
        <v>0</v>
      </c>
      <c r="I72" s="441">
        <v>0</v>
      </c>
      <c r="J72" s="441">
        <v>4</v>
      </c>
      <c r="K72" s="441">
        <v>3</v>
      </c>
      <c r="L72" s="107">
        <f t="shared" si="1"/>
        <v>47</v>
      </c>
      <c r="M72" s="108"/>
      <c r="N72" s="108">
        <f t="shared" si="0"/>
        <v>0</v>
      </c>
      <c r="O72" s="108">
        <f>'TTS O&amp;M Input'!$C$24</f>
        <v>403</v>
      </c>
      <c r="P72" s="109">
        <f t="shared" si="2"/>
        <v>18941</v>
      </c>
    </row>
    <row r="73" spans="1:16" x14ac:dyDescent="0.25">
      <c r="A73" s="106">
        <v>62</v>
      </c>
      <c r="B73" s="441">
        <v>0</v>
      </c>
      <c r="C73" s="441">
        <v>0</v>
      </c>
      <c r="D73" s="441">
        <v>7</v>
      </c>
      <c r="E73" s="106"/>
      <c r="F73" s="106"/>
      <c r="G73" s="107"/>
      <c r="H73" s="441">
        <v>0</v>
      </c>
      <c r="I73" s="441">
        <v>0</v>
      </c>
      <c r="J73" s="441">
        <v>4</v>
      </c>
      <c r="K73" s="441">
        <v>3</v>
      </c>
      <c r="L73" s="107">
        <f t="shared" si="1"/>
        <v>47</v>
      </c>
      <c r="M73" s="108"/>
      <c r="N73" s="108">
        <f t="shared" si="0"/>
        <v>0</v>
      </c>
      <c r="O73" s="108">
        <f>'TTS O&amp;M Input'!$C$24</f>
        <v>403</v>
      </c>
      <c r="P73" s="109">
        <f t="shared" si="2"/>
        <v>18941</v>
      </c>
    </row>
    <row r="74" spans="1:16" x14ac:dyDescent="0.25">
      <c r="A74" s="106">
        <v>63</v>
      </c>
      <c r="B74" s="441">
        <v>0</v>
      </c>
      <c r="C74" s="441">
        <v>0</v>
      </c>
      <c r="D74" s="441">
        <v>7</v>
      </c>
      <c r="E74" s="106"/>
      <c r="F74" s="106"/>
      <c r="G74" s="107"/>
      <c r="H74" s="441">
        <v>0</v>
      </c>
      <c r="I74" s="441">
        <v>0</v>
      </c>
      <c r="J74" s="441">
        <v>4</v>
      </c>
      <c r="K74" s="441">
        <v>3</v>
      </c>
      <c r="L74" s="107">
        <f t="shared" si="1"/>
        <v>47</v>
      </c>
      <c r="M74" s="108"/>
      <c r="N74" s="108">
        <f t="shared" si="0"/>
        <v>0</v>
      </c>
      <c r="O74" s="108">
        <f>'TTS O&amp;M Input'!$C$24</f>
        <v>403</v>
      </c>
      <c r="P74" s="109">
        <f t="shared" si="2"/>
        <v>18941</v>
      </c>
    </row>
    <row r="75" spans="1:16" x14ac:dyDescent="0.25">
      <c r="A75" s="106">
        <v>64</v>
      </c>
      <c r="B75" s="441">
        <v>0</v>
      </c>
      <c r="C75" s="441">
        <v>0</v>
      </c>
      <c r="D75" s="441">
        <v>7</v>
      </c>
      <c r="E75" s="106"/>
      <c r="F75" s="106"/>
      <c r="G75" s="107"/>
      <c r="H75" s="441">
        <v>0</v>
      </c>
      <c r="I75" s="441">
        <v>0</v>
      </c>
      <c r="J75" s="441">
        <v>4</v>
      </c>
      <c r="K75" s="441">
        <v>3</v>
      </c>
      <c r="L75" s="107">
        <f t="shared" si="1"/>
        <v>47</v>
      </c>
      <c r="M75" s="108"/>
      <c r="N75" s="108">
        <f t="shared" si="0"/>
        <v>0</v>
      </c>
      <c r="O75" s="108">
        <f>'TTS O&amp;M Input'!$C$24</f>
        <v>403</v>
      </c>
      <c r="P75" s="109">
        <f t="shared" si="2"/>
        <v>18941</v>
      </c>
    </row>
    <row r="76" spans="1:16" x14ac:dyDescent="0.25">
      <c r="A76" s="106">
        <v>65</v>
      </c>
      <c r="B76" s="441">
        <v>0</v>
      </c>
      <c r="C76" s="441">
        <v>0</v>
      </c>
      <c r="D76" s="441">
        <v>7</v>
      </c>
      <c r="E76" s="106"/>
      <c r="F76" s="106"/>
      <c r="G76" s="107"/>
      <c r="H76" s="441">
        <v>0</v>
      </c>
      <c r="I76" s="441">
        <v>0</v>
      </c>
      <c r="J76" s="441">
        <v>4</v>
      </c>
      <c r="K76" s="441">
        <v>3</v>
      </c>
      <c r="L76" s="107">
        <f t="shared" si="1"/>
        <v>47</v>
      </c>
      <c r="M76" s="108"/>
      <c r="N76" s="108">
        <f t="shared" ref="N76:N111" si="3">M76/L76</f>
        <v>0</v>
      </c>
      <c r="O76" s="108">
        <f>'TTS O&amp;M Input'!$C$24</f>
        <v>403</v>
      </c>
      <c r="P76" s="109">
        <f t="shared" si="2"/>
        <v>18941</v>
      </c>
    </row>
    <row r="77" spans="1:16" x14ac:dyDescent="0.25">
      <c r="A77" s="106">
        <v>66</v>
      </c>
      <c r="B77" s="441">
        <v>0</v>
      </c>
      <c r="C77" s="441">
        <v>0</v>
      </c>
      <c r="D77" s="441">
        <v>7</v>
      </c>
      <c r="E77" s="106"/>
      <c r="F77" s="106"/>
      <c r="G77" s="107"/>
      <c r="H77" s="441">
        <v>0</v>
      </c>
      <c r="I77" s="441">
        <v>0</v>
      </c>
      <c r="J77" s="441">
        <v>4</v>
      </c>
      <c r="K77" s="441">
        <v>3</v>
      </c>
      <c r="L77" s="107">
        <f t="shared" ref="L77:L111" si="4">(B77+E77+H77)*4+(C77+F77+I77)*2+(D77+G77+J77)*1+(K77*12)</f>
        <v>47</v>
      </c>
      <c r="M77" s="108"/>
      <c r="N77" s="108">
        <f t="shared" si="3"/>
        <v>0</v>
      </c>
      <c r="O77" s="108">
        <f>'TTS O&amp;M Input'!$C$24</f>
        <v>403</v>
      </c>
      <c r="P77" s="109">
        <f t="shared" ref="P77:P111" si="5">$O$12*L77</f>
        <v>18941</v>
      </c>
    </row>
    <row r="78" spans="1:16" x14ac:dyDescent="0.25">
      <c r="A78" s="106">
        <v>67</v>
      </c>
      <c r="B78" s="441">
        <v>0</v>
      </c>
      <c r="C78" s="441">
        <v>0</v>
      </c>
      <c r="D78" s="441">
        <v>7</v>
      </c>
      <c r="E78" s="106"/>
      <c r="F78" s="106"/>
      <c r="G78" s="107"/>
      <c r="H78" s="441">
        <v>0</v>
      </c>
      <c r="I78" s="441">
        <v>0</v>
      </c>
      <c r="J78" s="441">
        <v>4</v>
      </c>
      <c r="K78" s="441">
        <v>3</v>
      </c>
      <c r="L78" s="107">
        <f t="shared" si="4"/>
        <v>47</v>
      </c>
      <c r="M78" s="108"/>
      <c r="N78" s="108">
        <f t="shared" si="3"/>
        <v>0</v>
      </c>
      <c r="O78" s="108">
        <f>'TTS O&amp;M Input'!$C$24</f>
        <v>403</v>
      </c>
      <c r="P78" s="109">
        <f t="shared" si="5"/>
        <v>18941</v>
      </c>
    </row>
    <row r="79" spans="1:16" x14ac:dyDescent="0.25">
      <c r="A79" s="106">
        <v>68</v>
      </c>
      <c r="B79" s="441">
        <v>0</v>
      </c>
      <c r="C79" s="441">
        <v>0</v>
      </c>
      <c r="D79" s="441">
        <v>7</v>
      </c>
      <c r="E79" s="106"/>
      <c r="F79" s="106"/>
      <c r="G79" s="107"/>
      <c r="H79" s="441">
        <v>0</v>
      </c>
      <c r="I79" s="441">
        <v>0</v>
      </c>
      <c r="J79" s="441">
        <v>4</v>
      </c>
      <c r="K79" s="441">
        <v>3</v>
      </c>
      <c r="L79" s="107">
        <f t="shared" si="4"/>
        <v>47</v>
      </c>
      <c r="M79" s="108"/>
      <c r="N79" s="108">
        <f t="shared" si="3"/>
        <v>0</v>
      </c>
      <c r="O79" s="108">
        <f>'TTS O&amp;M Input'!$C$24</f>
        <v>403</v>
      </c>
      <c r="P79" s="109">
        <f t="shared" si="5"/>
        <v>18941</v>
      </c>
    </row>
    <row r="80" spans="1:16" x14ac:dyDescent="0.25">
      <c r="A80" s="106">
        <v>69</v>
      </c>
      <c r="B80" s="441">
        <v>0</v>
      </c>
      <c r="C80" s="441">
        <v>0</v>
      </c>
      <c r="D80" s="441">
        <v>7</v>
      </c>
      <c r="E80" s="106"/>
      <c r="F80" s="106"/>
      <c r="G80" s="107"/>
      <c r="H80" s="441">
        <v>0</v>
      </c>
      <c r="I80" s="441">
        <v>0</v>
      </c>
      <c r="J80" s="441">
        <v>4</v>
      </c>
      <c r="K80" s="441">
        <v>3</v>
      </c>
      <c r="L80" s="107">
        <f t="shared" si="4"/>
        <v>47</v>
      </c>
      <c r="M80" s="108"/>
      <c r="N80" s="108">
        <f t="shared" si="3"/>
        <v>0</v>
      </c>
      <c r="O80" s="108">
        <f>'TTS O&amp;M Input'!$C$24</f>
        <v>403</v>
      </c>
      <c r="P80" s="109">
        <f t="shared" si="5"/>
        <v>18941</v>
      </c>
    </row>
    <row r="81" spans="1:16" x14ac:dyDescent="0.25">
      <c r="A81" s="106">
        <v>70</v>
      </c>
      <c r="B81" s="441">
        <v>0</v>
      </c>
      <c r="C81" s="441">
        <v>0</v>
      </c>
      <c r="D81" s="441">
        <v>7</v>
      </c>
      <c r="E81" s="106"/>
      <c r="F81" s="106"/>
      <c r="G81" s="107"/>
      <c r="H81" s="441">
        <v>0</v>
      </c>
      <c r="I81" s="441">
        <v>0</v>
      </c>
      <c r="J81" s="441">
        <v>4</v>
      </c>
      <c r="K81" s="441">
        <v>3</v>
      </c>
      <c r="L81" s="107">
        <f t="shared" si="4"/>
        <v>47</v>
      </c>
      <c r="M81" s="108"/>
      <c r="N81" s="108">
        <f t="shared" si="3"/>
        <v>0</v>
      </c>
      <c r="O81" s="108">
        <f>'TTS O&amp;M Input'!$C$24</f>
        <v>403</v>
      </c>
      <c r="P81" s="109">
        <f t="shared" si="5"/>
        <v>18941</v>
      </c>
    </row>
    <row r="82" spans="1:16" x14ac:dyDescent="0.25">
      <c r="A82" s="106">
        <v>71</v>
      </c>
      <c r="B82" s="441">
        <v>0</v>
      </c>
      <c r="C82" s="441">
        <v>0</v>
      </c>
      <c r="D82" s="441">
        <v>7</v>
      </c>
      <c r="E82" s="106"/>
      <c r="F82" s="106"/>
      <c r="G82" s="107"/>
      <c r="H82" s="441">
        <v>0</v>
      </c>
      <c r="I82" s="441">
        <v>0</v>
      </c>
      <c r="J82" s="441">
        <v>4</v>
      </c>
      <c r="K82" s="441">
        <v>3</v>
      </c>
      <c r="L82" s="107">
        <f t="shared" si="4"/>
        <v>47</v>
      </c>
      <c r="M82" s="108"/>
      <c r="N82" s="108">
        <f t="shared" si="3"/>
        <v>0</v>
      </c>
      <c r="O82" s="108">
        <f>'TTS O&amp;M Input'!$C$24</f>
        <v>403</v>
      </c>
      <c r="P82" s="109">
        <f t="shared" si="5"/>
        <v>18941</v>
      </c>
    </row>
    <row r="83" spans="1:16" x14ac:dyDescent="0.25">
      <c r="A83" s="106">
        <v>72</v>
      </c>
      <c r="B83" s="441">
        <v>0</v>
      </c>
      <c r="C83" s="441">
        <v>0</v>
      </c>
      <c r="D83" s="441">
        <v>7</v>
      </c>
      <c r="E83" s="106"/>
      <c r="F83" s="106"/>
      <c r="G83" s="107"/>
      <c r="H83" s="441">
        <v>0</v>
      </c>
      <c r="I83" s="441">
        <v>0</v>
      </c>
      <c r="J83" s="441">
        <v>4</v>
      </c>
      <c r="K83" s="441">
        <v>3</v>
      </c>
      <c r="L83" s="107">
        <f t="shared" si="4"/>
        <v>47</v>
      </c>
      <c r="M83" s="108"/>
      <c r="N83" s="108">
        <f t="shared" si="3"/>
        <v>0</v>
      </c>
      <c r="O83" s="108">
        <f>'TTS O&amp;M Input'!$C$24</f>
        <v>403</v>
      </c>
      <c r="P83" s="109">
        <f t="shared" si="5"/>
        <v>18941</v>
      </c>
    </row>
    <row r="84" spans="1:16" x14ac:dyDescent="0.25">
      <c r="A84" s="106">
        <v>73</v>
      </c>
      <c r="B84" s="441">
        <v>0</v>
      </c>
      <c r="C84" s="441">
        <v>0</v>
      </c>
      <c r="D84" s="441">
        <v>7</v>
      </c>
      <c r="E84" s="106"/>
      <c r="F84" s="106"/>
      <c r="G84" s="107"/>
      <c r="H84" s="441">
        <v>0</v>
      </c>
      <c r="I84" s="441">
        <v>0</v>
      </c>
      <c r="J84" s="441">
        <v>4</v>
      </c>
      <c r="K84" s="441">
        <v>3</v>
      </c>
      <c r="L84" s="107">
        <f t="shared" si="4"/>
        <v>47</v>
      </c>
      <c r="M84" s="108"/>
      <c r="N84" s="108">
        <f t="shared" si="3"/>
        <v>0</v>
      </c>
      <c r="O84" s="108">
        <f>'TTS O&amp;M Input'!$C$24</f>
        <v>403</v>
      </c>
      <c r="P84" s="109">
        <f t="shared" si="5"/>
        <v>18941</v>
      </c>
    </row>
    <row r="85" spans="1:16" x14ac:dyDescent="0.25">
      <c r="A85" s="106">
        <v>74</v>
      </c>
      <c r="B85" s="441">
        <v>0</v>
      </c>
      <c r="C85" s="441">
        <v>0</v>
      </c>
      <c r="D85" s="441">
        <v>7</v>
      </c>
      <c r="E85" s="106"/>
      <c r="F85" s="106"/>
      <c r="G85" s="107"/>
      <c r="H85" s="441">
        <v>0</v>
      </c>
      <c r="I85" s="441">
        <v>0</v>
      </c>
      <c r="J85" s="441">
        <v>4</v>
      </c>
      <c r="K85" s="441">
        <v>3</v>
      </c>
      <c r="L85" s="107">
        <f t="shared" si="4"/>
        <v>47</v>
      </c>
      <c r="M85" s="108"/>
      <c r="N85" s="108">
        <f t="shared" si="3"/>
        <v>0</v>
      </c>
      <c r="O85" s="108">
        <f>'TTS O&amp;M Input'!$C$24</f>
        <v>403</v>
      </c>
      <c r="P85" s="109">
        <f t="shared" si="5"/>
        <v>18941</v>
      </c>
    </row>
    <row r="86" spans="1:16" x14ac:dyDescent="0.25">
      <c r="A86" s="106">
        <v>75</v>
      </c>
      <c r="B86" s="441">
        <v>0</v>
      </c>
      <c r="C86" s="441">
        <v>0</v>
      </c>
      <c r="D86" s="441">
        <v>7</v>
      </c>
      <c r="E86" s="106"/>
      <c r="F86" s="106"/>
      <c r="G86" s="107"/>
      <c r="H86" s="441">
        <v>0</v>
      </c>
      <c r="I86" s="441">
        <v>0</v>
      </c>
      <c r="J86" s="441">
        <v>4</v>
      </c>
      <c r="K86" s="441">
        <v>3</v>
      </c>
      <c r="L86" s="107">
        <f t="shared" si="4"/>
        <v>47</v>
      </c>
      <c r="M86" s="108"/>
      <c r="N86" s="108">
        <f t="shared" si="3"/>
        <v>0</v>
      </c>
      <c r="O86" s="108">
        <f>'TTS O&amp;M Input'!$C$24</f>
        <v>403</v>
      </c>
      <c r="P86" s="109">
        <f t="shared" si="5"/>
        <v>18941</v>
      </c>
    </row>
    <row r="87" spans="1:16" x14ac:dyDescent="0.25">
      <c r="A87" s="106">
        <v>76</v>
      </c>
      <c r="B87" s="441">
        <v>0</v>
      </c>
      <c r="C87" s="441">
        <v>0</v>
      </c>
      <c r="D87" s="441">
        <v>7</v>
      </c>
      <c r="E87" s="106"/>
      <c r="F87" s="106"/>
      <c r="G87" s="107"/>
      <c r="H87" s="441">
        <v>0</v>
      </c>
      <c r="I87" s="441">
        <v>0</v>
      </c>
      <c r="J87" s="441">
        <v>4</v>
      </c>
      <c r="K87" s="441">
        <v>3</v>
      </c>
      <c r="L87" s="107">
        <f t="shared" si="4"/>
        <v>47</v>
      </c>
      <c r="M87" s="108"/>
      <c r="N87" s="108">
        <f t="shared" si="3"/>
        <v>0</v>
      </c>
      <c r="O87" s="108">
        <f>'TTS O&amp;M Input'!$C$24</f>
        <v>403</v>
      </c>
      <c r="P87" s="109">
        <f t="shared" si="5"/>
        <v>18941</v>
      </c>
    </row>
    <row r="88" spans="1:16" x14ac:dyDescent="0.25">
      <c r="A88" s="106">
        <v>77</v>
      </c>
      <c r="B88" s="441">
        <v>0</v>
      </c>
      <c r="C88" s="441">
        <v>0</v>
      </c>
      <c r="D88" s="441">
        <v>7</v>
      </c>
      <c r="E88" s="106"/>
      <c r="F88" s="106"/>
      <c r="G88" s="107"/>
      <c r="H88" s="441">
        <v>0</v>
      </c>
      <c r="I88" s="441">
        <v>0</v>
      </c>
      <c r="J88" s="441">
        <v>4</v>
      </c>
      <c r="K88" s="441">
        <v>3</v>
      </c>
      <c r="L88" s="107">
        <f t="shared" si="4"/>
        <v>47</v>
      </c>
      <c r="M88" s="108"/>
      <c r="N88" s="108">
        <f t="shared" si="3"/>
        <v>0</v>
      </c>
      <c r="O88" s="108">
        <f>'TTS O&amp;M Input'!$C$24</f>
        <v>403</v>
      </c>
      <c r="P88" s="109">
        <f t="shared" si="5"/>
        <v>18941</v>
      </c>
    </row>
    <row r="89" spans="1:16" x14ac:dyDescent="0.25">
      <c r="A89" s="106">
        <v>78</v>
      </c>
      <c r="B89" s="441">
        <v>0</v>
      </c>
      <c r="C89" s="441">
        <v>0</v>
      </c>
      <c r="D89" s="441">
        <v>7</v>
      </c>
      <c r="E89" s="106"/>
      <c r="F89" s="106"/>
      <c r="G89" s="107"/>
      <c r="H89" s="441">
        <v>0</v>
      </c>
      <c r="I89" s="441">
        <v>0</v>
      </c>
      <c r="J89" s="441">
        <v>4</v>
      </c>
      <c r="K89" s="441">
        <v>3</v>
      </c>
      <c r="L89" s="107">
        <f t="shared" si="4"/>
        <v>47</v>
      </c>
      <c r="M89" s="108"/>
      <c r="N89" s="108">
        <f t="shared" si="3"/>
        <v>0</v>
      </c>
      <c r="O89" s="108">
        <f>'TTS O&amp;M Input'!$C$24</f>
        <v>403</v>
      </c>
      <c r="P89" s="109">
        <f t="shared" si="5"/>
        <v>18941</v>
      </c>
    </row>
    <row r="90" spans="1:16" x14ac:dyDescent="0.25">
      <c r="A90" s="106">
        <v>79</v>
      </c>
      <c r="B90" s="441">
        <v>0</v>
      </c>
      <c r="C90" s="441">
        <v>0</v>
      </c>
      <c r="D90" s="441">
        <v>7</v>
      </c>
      <c r="E90" s="106"/>
      <c r="F90" s="106"/>
      <c r="G90" s="107"/>
      <c r="H90" s="441">
        <v>0</v>
      </c>
      <c r="I90" s="441">
        <v>0</v>
      </c>
      <c r="J90" s="441">
        <v>4</v>
      </c>
      <c r="K90" s="441">
        <v>3</v>
      </c>
      <c r="L90" s="107">
        <f t="shared" si="4"/>
        <v>47</v>
      </c>
      <c r="M90" s="108"/>
      <c r="N90" s="108">
        <f t="shared" si="3"/>
        <v>0</v>
      </c>
      <c r="O90" s="108">
        <f>'TTS O&amp;M Input'!$C$24</f>
        <v>403</v>
      </c>
      <c r="P90" s="109">
        <f t="shared" si="5"/>
        <v>18941</v>
      </c>
    </row>
    <row r="91" spans="1:16" x14ac:dyDescent="0.25">
      <c r="A91" s="106">
        <v>80</v>
      </c>
      <c r="B91" s="441">
        <v>0</v>
      </c>
      <c r="C91" s="441">
        <v>0</v>
      </c>
      <c r="D91" s="441">
        <v>7</v>
      </c>
      <c r="E91" s="106"/>
      <c r="F91" s="106"/>
      <c r="G91" s="107"/>
      <c r="H91" s="441">
        <v>0</v>
      </c>
      <c r="I91" s="441">
        <v>0</v>
      </c>
      <c r="J91" s="441">
        <v>4</v>
      </c>
      <c r="K91" s="441">
        <v>3</v>
      </c>
      <c r="L91" s="107">
        <f t="shared" si="4"/>
        <v>47</v>
      </c>
      <c r="M91" s="108"/>
      <c r="N91" s="108">
        <f t="shared" si="3"/>
        <v>0</v>
      </c>
      <c r="O91" s="108">
        <f>'TTS O&amp;M Input'!$C$24</f>
        <v>403</v>
      </c>
      <c r="P91" s="109">
        <f t="shared" si="5"/>
        <v>18941</v>
      </c>
    </row>
    <row r="92" spans="1:16" x14ac:dyDescent="0.25">
      <c r="A92" s="106">
        <v>81</v>
      </c>
      <c r="B92" s="441">
        <v>0</v>
      </c>
      <c r="C92" s="441">
        <v>0</v>
      </c>
      <c r="D92" s="441">
        <v>7</v>
      </c>
      <c r="E92" s="106"/>
      <c r="F92" s="106"/>
      <c r="G92" s="107"/>
      <c r="H92" s="441">
        <v>0</v>
      </c>
      <c r="I92" s="441">
        <v>0</v>
      </c>
      <c r="J92" s="441">
        <v>4</v>
      </c>
      <c r="K92" s="441">
        <v>3</v>
      </c>
      <c r="L92" s="107">
        <f t="shared" si="4"/>
        <v>47</v>
      </c>
      <c r="M92" s="108"/>
      <c r="N92" s="108">
        <f t="shared" si="3"/>
        <v>0</v>
      </c>
      <c r="O92" s="108">
        <f>'TTS O&amp;M Input'!$C$24</f>
        <v>403</v>
      </c>
      <c r="P92" s="109">
        <f t="shared" si="5"/>
        <v>18941</v>
      </c>
    </row>
    <row r="93" spans="1:16" x14ac:dyDescent="0.25">
      <c r="A93" s="106">
        <v>82</v>
      </c>
      <c r="B93" s="441">
        <v>0</v>
      </c>
      <c r="C93" s="441">
        <v>0</v>
      </c>
      <c r="D93" s="441">
        <v>7</v>
      </c>
      <c r="E93" s="106"/>
      <c r="F93" s="106"/>
      <c r="G93" s="107"/>
      <c r="H93" s="441">
        <v>0</v>
      </c>
      <c r="I93" s="441">
        <v>0</v>
      </c>
      <c r="J93" s="441">
        <v>4</v>
      </c>
      <c r="K93" s="441">
        <v>3</v>
      </c>
      <c r="L93" s="107">
        <f t="shared" si="4"/>
        <v>47</v>
      </c>
      <c r="M93" s="108"/>
      <c r="N93" s="108">
        <f t="shared" si="3"/>
        <v>0</v>
      </c>
      <c r="O93" s="108">
        <f>'TTS O&amp;M Input'!$C$24</f>
        <v>403</v>
      </c>
      <c r="P93" s="109">
        <f t="shared" si="5"/>
        <v>18941</v>
      </c>
    </row>
    <row r="94" spans="1:16" x14ac:dyDescent="0.25">
      <c r="A94" s="106">
        <v>83</v>
      </c>
      <c r="B94" s="441">
        <v>0</v>
      </c>
      <c r="C94" s="441">
        <v>0</v>
      </c>
      <c r="D94" s="441">
        <v>7</v>
      </c>
      <c r="E94" s="106"/>
      <c r="F94" s="106"/>
      <c r="G94" s="107"/>
      <c r="H94" s="441">
        <v>0</v>
      </c>
      <c r="I94" s="441">
        <v>0</v>
      </c>
      <c r="J94" s="441">
        <v>4</v>
      </c>
      <c r="K94" s="441">
        <v>3</v>
      </c>
      <c r="L94" s="107">
        <f t="shared" si="4"/>
        <v>47</v>
      </c>
      <c r="M94" s="108"/>
      <c r="N94" s="108">
        <f t="shared" si="3"/>
        <v>0</v>
      </c>
      <c r="O94" s="108">
        <f>'TTS O&amp;M Input'!$C$24</f>
        <v>403</v>
      </c>
      <c r="P94" s="109">
        <f t="shared" si="5"/>
        <v>18941</v>
      </c>
    </row>
    <row r="95" spans="1:16" x14ac:dyDescent="0.25">
      <c r="A95" s="106">
        <v>84</v>
      </c>
      <c r="B95" s="441">
        <v>0</v>
      </c>
      <c r="C95" s="441">
        <v>0</v>
      </c>
      <c r="D95" s="441">
        <v>7</v>
      </c>
      <c r="E95" s="106"/>
      <c r="F95" s="106"/>
      <c r="G95" s="107"/>
      <c r="H95" s="441">
        <v>0</v>
      </c>
      <c r="I95" s="441">
        <v>0</v>
      </c>
      <c r="J95" s="441">
        <v>4</v>
      </c>
      <c r="K95" s="441">
        <v>3</v>
      </c>
      <c r="L95" s="107">
        <f t="shared" si="4"/>
        <v>47</v>
      </c>
      <c r="M95" s="108"/>
      <c r="N95" s="108">
        <f t="shared" si="3"/>
        <v>0</v>
      </c>
      <c r="O95" s="108">
        <f>'TTS O&amp;M Input'!$C$24</f>
        <v>403</v>
      </c>
      <c r="P95" s="109">
        <f t="shared" si="5"/>
        <v>18941</v>
      </c>
    </row>
    <row r="96" spans="1:16" x14ac:dyDescent="0.25">
      <c r="A96" s="106">
        <v>85</v>
      </c>
      <c r="B96" s="441">
        <v>0</v>
      </c>
      <c r="C96" s="441">
        <v>0</v>
      </c>
      <c r="D96" s="441">
        <v>7</v>
      </c>
      <c r="E96" s="106"/>
      <c r="F96" s="106"/>
      <c r="G96" s="107"/>
      <c r="H96" s="441">
        <v>0</v>
      </c>
      <c r="I96" s="441">
        <v>0</v>
      </c>
      <c r="J96" s="441">
        <v>4</v>
      </c>
      <c r="K96" s="441">
        <v>3</v>
      </c>
      <c r="L96" s="107">
        <f t="shared" si="4"/>
        <v>47</v>
      </c>
      <c r="M96" s="108"/>
      <c r="N96" s="108">
        <f t="shared" si="3"/>
        <v>0</v>
      </c>
      <c r="O96" s="108">
        <f>'TTS O&amp;M Input'!$C$24</f>
        <v>403</v>
      </c>
      <c r="P96" s="109">
        <f t="shared" si="5"/>
        <v>18941</v>
      </c>
    </row>
    <row r="97" spans="1:16" x14ac:dyDescent="0.25">
      <c r="A97" s="106">
        <v>86</v>
      </c>
      <c r="B97" s="441">
        <v>0</v>
      </c>
      <c r="C97" s="441">
        <v>0</v>
      </c>
      <c r="D97" s="441">
        <v>7</v>
      </c>
      <c r="E97" s="106"/>
      <c r="F97" s="106"/>
      <c r="G97" s="107"/>
      <c r="H97" s="441">
        <v>0</v>
      </c>
      <c r="I97" s="441">
        <v>0</v>
      </c>
      <c r="J97" s="441">
        <v>4</v>
      </c>
      <c r="K97" s="441">
        <v>3</v>
      </c>
      <c r="L97" s="107">
        <f t="shared" si="4"/>
        <v>47</v>
      </c>
      <c r="M97" s="108"/>
      <c r="N97" s="108">
        <f t="shared" si="3"/>
        <v>0</v>
      </c>
      <c r="O97" s="108">
        <f>'TTS O&amp;M Input'!$C$24</f>
        <v>403</v>
      </c>
      <c r="P97" s="109">
        <f t="shared" si="5"/>
        <v>18941</v>
      </c>
    </row>
    <row r="98" spans="1:16" x14ac:dyDescent="0.25">
      <c r="A98" s="106">
        <v>87</v>
      </c>
      <c r="B98" s="441">
        <v>0</v>
      </c>
      <c r="C98" s="441">
        <v>0</v>
      </c>
      <c r="D98" s="441">
        <v>7</v>
      </c>
      <c r="E98" s="106"/>
      <c r="F98" s="106"/>
      <c r="G98" s="107"/>
      <c r="H98" s="441">
        <v>0</v>
      </c>
      <c r="I98" s="441">
        <v>0</v>
      </c>
      <c r="J98" s="441">
        <v>4</v>
      </c>
      <c r="K98" s="441">
        <v>3</v>
      </c>
      <c r="L98" s="107">
        <f t="shared" si="4"/>
        <v>47</v>
      </c>
      <c r="M98" s="108"/>
      <c r="N98" s="108">
        <f t="shared" si="3"/>
        <v>0</v>
      </c>
      <c r="O98" s="108">
        <f>'TTS O&amp;M Input'!$C$24</f>
        <v>403</v>
      </c>
      <c r="P98" s="109">
        <f t="shared" si="5"/>
        <v>18941</v>
      </c>
    </row>
    <row r="99" spans="1:16" x14ac:dyDescent="0.25">
      <c r="A99" s="106">
        <v>88</v>
      </c>
      <c r="B99" s="441">
        <v>0</v>
      </c>
      <c r="C99" s="441">
        <v>0</v>
      </c>
      <c r="D99" s="441">
        <v>7</v>
      </c>
      <c r="E99" s="106"/>
      <c r="F99" s="106"/>
      <c r="G99" s="107"/>
      <c r="H99" s="441">
        <v>0</v>
      </c>
      <c r="I99" s="441">
        <v>0</v>
      </c>
      <c r="J99" s="441">
        <v>4</v>
      </c>
      <c r="K99" s="441">
        <v>3</v>
      </c>
      <c r="L99" s="107">
        <f t="shared" si="4"/>
        <v>47</v>
      </c>
      <c r="M99" s="108"/>
      <c r="N99" s="108">
        <f t="shared" si="3"/>
        <v>0</v>
      </c>
      <c r="O99" s="108">
        <f>'TTS O&amp;M Input'!$C$24</f>
        <v>403</v>
      </c>
      <c r="P99" s="109">
        <f t="shared" si="5"/>
        <v>18941</v>
      </c>
    </row>
    <row r="100" spans="1:16" x14ac:dyDescent="0.25">
      <c r="A100" s="106">
        <v>89</v>
      </c>
      <c r="B100" s="441">
        <v>0</v>
      </c>
      <c r="C100" s="441">
        <v>0</v>
      </c>
      <c r="D100" s="441">
        <v>7</v>
      </c>
      <c r="E100" s="106"/>
      <c r="F100" s="106"/>
      <c r="G100" s="107"/>
      <c r="H100" s="441">
        <v>0</v>
      </c>
      <c r="I100" s="441">
        <v>0</v>
      </c>
      <c r="J100" s="441">
        <v>4</v>
      </c>
      <c r="K100" s="441">
        <v>3</v>
      </c>
      <c r="L100" s="107">
        <f t="shared" si="4"/>
        <v>47</v>
      </c>
      <c r="M100" s="108"/>
      <c r="N100" s="108">
        <f t="shared" si="3"/>
        <v>0</v>
      </c>
      <c r="O100" s="108">
        <f>'TTS O&amp;M Input'!$C$24</f>
        <v>403</v>
      </c>
      <c r="P100" s="109">
        <f t="shared" si="5"/>
        <v>18941</v>
      </c>
    </row>
    <row r="101" spans="1:16" x14ac:dyDescent="0.25">
      <c r="A101" s="106">
        <v>90</v>
      </c>
      <c r="B101" s="441">
        <v>0</v>
      </c>
      <c r="C101" s="441">
        <v>0</v>
      </c>
      <c r="D101" s="441">
        <v>7</v>
      </c>
      <c r="E101" s="106"/>
      <c r="F101" s="106"/>
      <c r="G101" s="107"/>
      <c r="H101" s="441">
        <v>0</v>
      </c>
      <c r="I101" s="441">
        <v>0</v>
      </c>
      <c r="J101" s="441">
        <v>4</v>
      </c>
      <c r="K101" s="441">
        <v>3</v>
      </c>
      <c r="L101" s="107">
        <f t="shared" si="4"/>
        <v>47</v>
      </c>
      <c r="M101" s="108"/>
      <c r="N101" s="108">
        <f t="shared" si="3"/>
        <v>0</v>
      </c>
      <c r="O101" s="108">
        <f>'TTS O&amp;M Input'!$C$24</f>
        <v>403</v>
      </c>
      <c r="P101" s="109">
        <f t="shared" si="5"/>
        <v>18941</v>
      </c>
    </row>
    <row r="102" spans="1:16" x14ac:dyDescent="0.25">
      <c r="A102" s="106">
        <v>91</v>
      </c>
      <c r="B102" s="441">
        <v>0</v>
      </c>
      <c r="C102" s="441">
        <v>0</v>
      </c>
      <c r="D102" s="441">
        <v>7</v>
      </c>
      <c r="E102" s="106"/>
      <c r="F102" s="106"/>
      <c r="G102" s="107"/>
      <c r="H102" s="441">
        <v>0</v>
      </c>
      <c r="I102" s="441">
        <v>0</v>
      </c>
      <c r="J102" s="441">
        <v>4</v>
      </c>
      <c r="K102" s="441">
        <v>3</v>
      </c>
      <c r="L102" s="107">
        <f t="shared" si="4"/>
        <v>47</v>
      </c>
      <c r="M102" s="108"/>
      <c r="N102" s="108">
        <f t="shared" si="3"/>
        <v>0</v>
      </c>
      <c r="O102" s="108">
        <f>'TTS O&amp;M Input'!$C$24</f>
        <v>403</v>
      </c>
      <c r="P102" s="109">
        <f t="shared" si="5"/>
        <v>18941</v>
      </c>
    </row>
    <row r="103" spans="1:16" x14ac:dyDescent="0.25">
      <c r="A103" s="106">
        <v>92</v>
      </c>
      <c r="B103" s="441">
        <v>0</v>
      </c>
      <c r="C103" s="441">
        <v>0</v>
      </c>
      <c r="D103" s="441">
        <v>7</v>
      </c>
      <c r="E103" s="106"/>
      <c r="F103" s="106"/>
      <c r="G103" s="107"/>
      <c r="H103" s="441">
        <v>0</v>
      </c>
      <c r="I103" s="441">
        <v>0</v>
      </c>
      <c r="J103" s="441">
        <v>4</v>
      </c>
      <c r="K103" s="441">
        <v>3</v>
      </c>
      <c r="L103" s="107">
        <f t="shared" si="4"/>
        <v>47</v>
      </c>
      <c r="M103" s="108"/>
      <c r="N103" s="108">
        <f t="shared" si="3"/>
        <v>0</v>
      </c>
      <c r="O103" s="108">
        <f>'TTS O&amp;M Input'!$C$24</f>
        <v>403</v>
      </c>
      <c r="P103" s="109">
        <f t="shared" si="5"/>
        <v>18941</v>
      </c>
    </row>
    <row r="104" spans="1:16" x14ac:dyDescent="0.25">
      <c r="A104" s="106">
        <v>93</v>
      </c>
      <c r="B104" s="441">
        <v>0</v>
      </c>
      <c r="C104" s="441">
        <v>0</v>
      </c>
      <c r="D104" s="441">
        <v>7</v>
      </c>
      <c r="E104" s="106"/>
      <c r="F104" s="106"/>
      <c r="G104" s="107"/>
      <c r="H104" s="441">
        <v>0</v>
      </c>
      <c r="I104" s="441">
        <v>0</v>
      </c>
      <c r="J104" s="441">
        <v>4</v>
      </c>
      <c r="K104" s="441">
        <v>3</v>
      </c>
      <c r="L104" s="107">
        <f t="shared" si="4"/>
        <v>47</v>
      </c>
      <c r="M104" s="108"/>
      <c r="N104" s="108">
        <f t="shared" si="3"/>
        <v>0</v>
      </c>
      <c r="O104" s="108">
        <f>'TTS O&amp;M Input'!$C$24</f>
        <v>403</v>
      </c>
      <c r="P104" s="109">
        <f t="shared" si="5"/>
        <v>18941</v>
      </c>
    </row>
    <row r="105" spans="1:16" x14ac:dyDescent="0.25">
      <c r="A105" s="106">
        <v>94</v>
      </c>
      <c r="B105" s="441">
        <v>0</v>
      </c>
      <c r="C105" s="441">
        <v>0</v>
      </c>
      <c r="D105" s="441">
        <v>7</v>
      </c>
      <c r="E105" s="106"/>
      <c r="F105" s="106"/>
      <c r="G105" s="107"/>
      <c r="H105" s="441">
        <v>0</v>
      </c>
      <c r="I105" s="441">
        <v>0</v>
      </c>
      <c r="J105" s="441">
        <v>4</v>
      </c>
      <c r="K105" s="441">
        <v>3</v>
      </c>
      <c r="L105" s="107">
        <f t="shared" si="4"/>
        <v>47</v>
      </c>
      <c r="M105" s="108"/>
      <c r="N105" s="108">
        <f t="shared" si="3"/>
        <v>0</v>
      </c>
      <c r="O105" s="108">
        <f>'TTS O&amp;M Input'!$C$24</f>
        <v>403</v>
      </c>
      <c r="P105" s="109">
        <f t="shared" si="5"/>
        <v>18941</v>
      </c>
    </row>
    <row r="106" spans="1:16" x14ac:dyDescent="0.25">
      <c r="A106" s="106">
        <v>95</v>
      </c>
      <c r="B106" s="441">
        <v>0</v>
      </c>
      <c r="C106" s="441">
        <v>0</v>
      </c>
      <c r="D106" s="441">
        <v>7</v>
      </c>
      <c r="E106" s="106"/>
      <c r="F106" s="106"/>
      <c r="G106" s="107"/>
      <c r="H106" s="441">
        <v>0</v>
      </c>
      <c r="I106" s="441">
        <v>0</v>
      </c>
      <c r="J106" s="441">
        <v>4</v>
      </c>
      <c r="K106" s="441">
        <v>3</v>
      </c>
      <c r="L106" s="107">
        <f t="shared" si="4"/>
        <v>47</v>
      </c>
      <c r="M106" s="108"/>
      <c r="N106" s="108">
        <f t="shared" si="3"/>
        <v>0</v>
      </c>
      <c r="O106" s="108">
        <f>'TTS O&amp;M Input'!$C$24</f>
        <v>403</v>
      </c>
      <c r="P106" s="109">
        <f t="shared" si="5"/>
        <v>18941</v>
      </c>
    </row>
    <row r="107" spans="1:16" x14ac:dyDescent="0.25">
      <c r="A107" s="106">
        <v>96</v>
      </c>
      <c r="B107" s="441">
        <v>0</v>
      </c>
      <c r="C107" s="441">
        <v>0</v>
      </c>
      <c r="D107" s="441">
        <v>7</v>
      </c>
      <c r="E107" s="106"/>
      <c r="F107" s="106"/>
      <c r="G107" s="107"/>
      <c r="H107" s="441">
        <v>0</v>
      </c>
      <c r="I107" s="441">
        <v>0</v>
      </c>
      <c r="J107" s="441">
        <v>4</v>
      </c>
      <c r="K107" s="441">
        <v>3</v>
      </c>
      <c r="L107" s="107">
        <f t="shared" si="4"/>
        <v>47</v>
      </c>
      <c r="M107" s="108"/>
      <c r="N107" s="108">
        <f t="shared" si="3"/>
        <v>0</v>
      </c>
      <c r="O107" s="108">
        <f>'TTS O&amp;M Input'!$C$24</f>
        <v>403</v>
      </c>
      <c r="P107" s="109">
        <f t="shared" si="5"/>
        <v>18941</v>
      </c>
    </row>
    <row r="108" spans="1:16" x14ac:dyDescent="0.25">
      <c r="A108" s="106">
        <v>97</v>
      </c>
      <c r="B108" s="441">
        <v>0</v>
      </c>
      <c r="C108" s="441">
        <v>0</v>
      </c>
      <c r="D108" s="441">
        <v>7</v>
      </c>
      <c r="E108" s="106"/>
      <c r="F108" s="106"/>
      <c r="G108" s="107"/>
      <c r="H108" s="441">
        <v>0</v>
      </c>
      <c r="I108" s="441">
        <v>0</v>
      </c>
      <c r="J108" s="441">
        <v>4</v>
      </c>
      <c r="K108" s="441">
        <v>3</v>
      </c>
      <c r="L108" s="107">
        <f t="shared" si="4"/>
        <v>47</v>
      </c>
      <c r="M108" s="108"/>
      <c r="N108" s="108">
        <f t="shared" si="3"/>
        <v>0</v>
      </c>
      <c r="O108" s="108">
        <f>'TTS O&amp;M Input'!$C$24</f>
        <v>403</v>
      </c>
      <c r="P108" s="109">
        <f t="shared" si="5"/>
        <v>18941</v>
      </c>
    </row>
    <row r="109" spans="1:16" x14ac:dyDescent="0.25">
      <c r="A109" s="106">
        <v>98</v>
      </c>
      <c r="B109" s="441">
        <v>0</v>
      </c>
      <c r="C109" s="441">
        <v>0</v>
      </c>
      <c r="D109" s="441">
        <v>7</v>
      </c>
      <c r="E109" s="106"/>
      <c r="F109" s="106"/>
      <c r="G109" s="107"/>
      <c r="H109" s="441">
        <v>0</v>
      </c>
      <c r="I109" s="441">
        <v>0</v>
      </c>
      <c r="J109" s="441">
        <v>4</v>
      </c>
      <c r="K109" s="441">
        <v>3</v>
      </c>
      <c r="L109" s="107">
        <f t="shared" si="4"/>
        <v>47</v>
      </c>
      <c r="M109" s="108"/>
      <c r="N109" s="108">
        <f t="shared" si="3"/>
        <v>0</v>
      </c>
      <c r="O109" s="108">
        <f>'TTS O&amp;M Input'!$C$24</f>
        <v>403</v>
      </c>
      <c r="P109" s="109">
        <f t="shared" si="5"/>
        <v>18941</v>
      </c>
    </row>
    <row r="110" spans="1:16" x14ac:dyDescent="0.25">
      <c r="A110" s="106">
        <v>99</v>
      </c>
      <c r="B110" s="441">
        <v>0</v>
      </c>
      <c r="C110" s="441">
        <v>0</v>
      </c>
      <c r="D110" s="441">
        <v>7</v>
      </c>
      <c r="E110" s="106"/>
      <c r="F110" s="106"/>
      <c r="G110" s="107"/>
      <c r="H110" s="441">
        <v>0</v>
      </c>
      <c r="I110" s="441">
        <v>0</v>
      </c>
      <c r="J110" s="441">
        <v>4</v>
      </c>
      <c r="K110" s="441">
        <v>3</v>
      </c>
      <c r="L110" s="107">
        <f t="shared" si="4"/>
        <v>47</v>
      </c>
      <c r="M110" s="108"/>
      <c r="N110" s="108">
        <f t="shared" si="3"/>
        <v>0</v>
      </c>
      <c r="O110" s="108">
        <f>'TTS O&amp;M Input'!$C$24</f>
        <v>403</v>
      </c>
      <c r="P110" s="109">
        <f t="shared" si="5"/>
        <v>18941</v>
      </c>
    </row>
    <row r="111" spans="1:16" x14ac:dyDescent="0.25">
      <c r="A111" s="106">
        <v>100</v>
      </c>
      <c r="B111" s="441">
        <v>0</v>
      </c>
      <c r="C111" s="441">
        <v>0</v>
      </c>
      <c r="D111" s="441">
        <v>7</v>
      </c>
      <c r="E111" s="106"/>
      <c r="F111" s="106"/>
      <c r="G111" s="107"/>
      <c r="H111" s="441">
        <v>0</v>
      </c>
      <c r="I111" s="441">
        <v>0</v>
      </c>
      <c r="J111" s="441">
        <v>4</v>
      </c>
      <c r="K111" s="441">
        <v>3</v>
      </c>
      <c r="L111" s="107">
        <f t="shared" si="4"/>
        <v>47</v>
      </c>
      <c r="M111" s="108">
        <v>0</v>
      </c>
      <c r="N111" s="108">
        <f t="shared" si="3"/>
        <v>0</v>
      </c>
      <c r="O111" s="108">
        <f>'TTS O&amp;M Input'!$C$24</f>
        <v>403</v>
      </c>
      <c r="P111" s="109">
        <f t="shared" si="5"/>
        <v>18941</v>
      </c>
    </row>
    <row r="112" spans="1:16" ht="13" x14ac:dyDescent="0.3">
      <c r="A112" s="452"/>
      <c r="B112" s="452"/>
      <c r="C112" s="452"/>
      <c r="D112" s="452"/>
      <c r="E112" s="452"/>
      <c r="F112" s="452"/>
      <c r="G112" s="452"/>
      <c r="H112" s="452"/>
      <c r="I112" s="452"/>
      <c r="J112" s="452"/>
      <c r="K112" s="452"/>
      <c r="L112" s="452"/>
      <c r="M112" s="452"/>
      <c r="N112" s="452"/>
      <c r="O112" s="110" t="s">
        <v>363</v>
      </c>
      <c r="P112" s="111">
        <f>SUM(P12:P111)</f>
        <v>1881204</v>
      </c>
    </row>
    <row r="113" spans="1:16" x14ac:dyDescent="0.25">
      <c r="A113" s="627" t="s">
        <v>67</v>
      </c>
      <c r="B113" s="627"/>
      <c r="C113" s="627"/>
      <c r="D113" s="627"/>
      <c r="E113" s="627"/>
      <c r="F113" s="627"/>
      <c r="G113" s="627"/>
      <c r="H113" s="627"/>
      <c r="I113" s="627"/>
      <c r="J113" s="627"/>
      <c r="K113" s="627"/>
      <c r="L113" s="627"/>
      <c r="M113" s="627"/>
      <c r="N113" s="627"/>
      <c r="O113" s="627"/>
      <c r="P113" s="627"/>
    </row>
    <row r="114" spans="1:16" ht="13" customHeight="1" x14ac:dyDescent="0.25">
      <c r="A114" s="630" t="s">
        <v>83</v>
      </c>
      <c r="B114" s="630"/>
      <c r="C114" s="630"/>
      <c r="D114" s="630"/>
      <c r="E114" s="630"/>
      <c r="F114" s="630"/>
      <c r="G114" s="630"/>
      <c r="H114" s="630"/>
      <c r="I114" s="630"/>
      <c r="J114" s="630"/>
      <c r="K114" s="630"/>
      <c r="L114" s="630"/>
      <c r="M114" s="630"/>
      <c r="N114" s="630"/>
      <c r="O114" s="630"/>
      <c r="P114" s="630"/>
    </row>
    <row r="115" spans="1:16" ht="13" customHeight="1" x14ac:dyDescent="0.25">
      <c r="A115" s="632" t="s">
        <v>364</v>
      </c>
      <c r="B115" s="612"/>
      <c r="C115" s="612"/>
      <c r="D115" s="612"/>
      <c r="E115" s="612"/>
      <c r="F115" s="612"/>
      <c r="G115" s="612"/>
      <c r="H115" s="630"/>
      <c r="I115" s="630"/>
      <c r="J115" s="630"/>
      <c r="K115" s="630"/>
      <c r="L115" s="630"/>
      <c r="M115" s="630"/>
      <c r="N115" s="630"/>
      <c r="O115" s="631"/>
      <c r="P115" s="631"/>
    </row>
    <row r="116" spans="1:16" ht="26.15" customHeight="1" x14ac:dyDescent="0.25">
      <c r="A116" s="738" t="s">
        <v>716</v>
      </c>
      <c r="B116" s="738"/>
      <c r="C116" s="738"/>
      <c r="D116" s="738"/>
      <c r="E116" s="738"/>
      <c r="F116" s="738"/>
      <c r="G116" s="738"/>
      <c r="H116" s="738"/>
      <c r="I116" s="738"/>
      <c r="J116" s="738"/>
      <c r="K116" s="738"/>
      <c r="L116" s="738"/>
      <c r="M116" s="738"/>
      <c r="N116" s="738"/>
      <c r="O116" s="738"/>
      <c r="P116" s="738"/>
    </row>
    <row r="117" spans="1:16" ht="13" customHeight="1" x14ac:dyDescent="0.25">
      <c r="A117" s="737" t="s">
        <v>365</v>
      </c>
      <c r="B117" s="737"/>
      <c r="C117" s="737"/>
      <c r="D117" s="737"/>
      <c r="E117" s="737"/>
      <c r="F117" s="737"/>
      <c r="G117" s="737"/>
      <c r="H117" s="737"/>
      <c r="I117" s="737"/>
      <c r="J117" s="737"/>
      <c r="K117" s="737"/>
      <c r="L117" s="737"/>
      <c r="M117" s="737"/>
      <c r="N117" s="737"/>
      <c r="O117" s="737"/>
      <c r="P117" s="737"/>
    </row>
    <row r="118" spans="1:16" ht="26.15" customHeight="1" x14ac:dyDescent="0.25">
      <c r="A118" s="735" t="s">
        <v>366</v>
      </c>
      <c r="B118" s="735"/>
      <c r="C118" s="735"/>
      <c r="D118" s="735"/>
      <c r="E118" s="735"/>
      <c r="F118" s="735"/>
      <c r="G118" s="735"/>
      <c r="H118" s="735"/>
      <c r="I118" s="735"/>
      <c r="J118" s="735"/>
      <c r="K118" s="735"/>
      <c r="L118" s="735"/>
      <c r="M118" s="735"/>
      <c r="N118" s="735"/>
      <c r="O118" s="735"/>
      <c r="P118" s="735"/>
    </row>
    <row r="119" spans="1:16" ht="13" customHeight="1" x14ac:dyDescent="0.25">
      <c r="A119" s="735" t="s">
        <v>367</v>
      </c>
      <c r="B119" s="735"/>
      <c r="C119" s="735"/>
      <c r="D119" s="735"/>
      <c r="E119" s="735"/>
      <c r="F119" s="735"/>
      <c r="G119" s="735"/>
      <c r="H119" s="735"/>
      <c r="I119" s="735"/>
      <c r="J119" s="735"/>
      <c r="K119" s="735"/>
      <c r="L119" s="735"/>
      <c r="M119" s="735"/>
      <c r="N119" s="735"/>
      <c r="O119" s="735"/>
      <c r="P119" s="735"/>
    </row>
    <row r="120" spans="1:16" ht="30" customHeight="1" x14ac:dyDescent="0.25">
      <c r="A120" s="705" t="s">
        <v>717</v>
      </c>
      <c r="B120" s="705"/>
      <c r="C120" s="705"/>
      <c r="D120" s="705"/>
      <c r="E120" s="705"/>
      <c r="F120" s="705"/>
      <c r="G120" s="705"/>
      <c r="H120" s="705"/>
      <c r="I120" s="705"/>
      <c r="J120" s="705"/>
      <c r="K120" s="705"/>
      <c r="L120" s="705"/>
      <c r="M120" s="705"/>
      <c r="N120" s="705"/>
      <c r="O120" s="705"/>
      <c r="P120" s="705"/>
    </row>
    <row r="121" spans="1:16" ht="30" customHeight="1" x14ac:dyDescent="0.25">
      <c r="A121" s="735" t="s">
        <v>368</v>
      </c>
      <c r="B121" s="735"/>
      <c r="C121" s="735"/>
      <c r="D121" s="735"/>
      <c r="E121" s="735"/>
      <c r="F121" s="735"/>
      <c r="G121" s="735"/>
      <c r="H121" s="735"/>
      <c r="I121" s="735"/>
      <c r="J121" s="735"/>
      <c r="K121" s="735"/>
      <c r="L121" s="735"/>
      <c r="M121" s="735"/>
      <c r="N121" s="735"/>
      <c r="O121" s="735"/>
      <c r="P121" s="735"/>
    </row>
    <row r="122" spans="1:16" ht="26.15" customHeight="1" x14ac:dyDescent="0.25">
      <c r="A122" s="735" t="s">
        <v>369</v>
      </c>
      <c r="B122" s="735"/>
      <c r="C122" s="735"/>
      <c r="D122" s="735"/>
      <c r="E122" s="735"/>
      <c r="F122" s="735"/>
      <c r="G122" s="735"/>
      <c r="H122" s="735"/>
      <c r="I122" s="735"/>
      <c r="J122" s="735"/>
      <c r="K122" s="735"/>
      <c r="L122" s="735"/>
      <c r="M122" s="735"/>
      <c r="N122" s="735"/>
      <c r="O122" s="735"/>
      <c r="P122" s="735"/>
    </row>
  </sheetData>
  <sheetProtection algorithmName="SHA-512" hashValue="cVl+HK8d6IqnrztqdaXwHPd15CGiUu7PBcRUc/8ezOJoPBoqzhqj1e99jy1W85RQ7gXiVvNXeK6ZbEHHXI/wZg==" saltValue="TcAIM260VpN/TJHqcht7Ww==" spinCount="100000" sheet="1" objects="1" scenarios="1"/>
  <mergeCells count="14">
    <mergeCell ref="A122:P122"/>
    <mergeCell ref="A121:P121"/>
    <mergeCell ref="C7:I7"/>
    <mergeCell ref="A117:P117"/>
    <mergeCell ref="A118:P118"/>
    <mergeCell ref="A119:P119"/>
    <mergeCell ref="A120:P120"/>
    <mergeCell ref="A116:P116"/>
    <mergeCell ref="O9:O10"/>
    <mergeCell ref="P9:P10"/>
    <mergeCell ref="B9:D9"/>
    <mergeCell ref="E9:G9"/>
    <mergeCell ref="H9:J9"/>
    <mergeCell ref="L9:L10"/>
  </mergeCells>
  <conditionalFormatting sqref="B11:K11 E26:G111 D12:G25">
    <cfRule type="cellIs" dxfId="5" priority="6" operator="equal">
      <formula>0</formula>
    </cfRule>
  </conditionalFormatting>
  <conditionalFormatting sqref="L11:L111">
    <cfRule type="cellIs" dxfId="4" priority="5" operator="equal">
      <formula>0</formula>
    </cfRule>
  </conditionalFormatting>
  <conditionalFormatting sqref="B12:C25">
    <cfRule type="cellIs" dxfId="3" priority="4" operator="equal">
      <formula>0</formula>
    </cfRule>
  </conditionalFormatting>
  <conditionalFormatting sqref="B26:D111">
    <cfRule type="cellIs" dxfId="2" priority="3" operator="equal">
      <formula>0</formula>
    </cfRule>
  </conditionalFormatting>
  <conditionalFormatting sqref="H12:J111">
    <cfRule type="cellIs" dxfId="1" priority="2" operator="equal">
      <formula>0</formula>
    </cfRule>
  </conditionalFormatting>
  <conditionalFormatting sqref="K12:K111">
    <cfRule type="cellIs" dxfId="0" priority="1" operator="equal">
      <formula>0</formula>
    </cfRule>
  </conditionalFormatting>
  <pageMargins left="0.7" right="0.7" top="0.75" bottom="0.75" header="0.3" footer="0.3"/>
  <pageSetup scale="75" fitToHeight="0" orientation="portrait" r:id="rId1"/>
  <headerFooter scaleWithDoc="0">
    <oddFooter>&amp;R&amp;"Arial,Regular"&amp;8&amp;P of 2</oddFooter>
  </headerFooter>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Z49"/>
  <sheetViews>
    <sheetView view="pageBreakPreview" topLeftCell="A25" zoomScaleNormal="100" zoomScaleSheetLayoutView="100" workbookViewId="0">
      <selection activeCell="D31" sqref="D31:J31"/>
    </sheetView>
  </sheetViews>
  <sheetFormatPr defaultColWidth="9.26953125" defaultRowHeight="12.5" x14ac:dyDescent="0.25"/>
  <cols>
    <col min="1" max="1" width="37.26953125" style="91" customWidth="1"/>
    <col min="2" max="2" width="3.36328125" style="91" customWidth="1"/>
    <col min="3" max="8" width="14.7265625" style="91" customWidth="1"/>
    <col min="9" max="9" width="12.26953125" style="91" customWidth="1"/>
    <col min="10" max="16384" width="9.26953125" style="91"/>
  </cols>
  <sheetData>
    <row r="1" spans="1:13" x14ac:dyDescent="0.25">
      <c r="A1" s="452"/>
      <c r="B1" s="452"/>
      <c r="C1" s="452"/>
      <c r="D1" s="452"/>
      <c r="E1" s="93"/>
      <c r="F1" s="452"/>
      <c r="G1" s="452"/>
      <c r="H1" s="452"/>
      <c r="I1" s="452"/>
      <c r="J1" s="452"/>
      <c r="K1" s="452"/>
      <c r="L1" s="452"/>
      <c r="M1" s="452"/>
    </row>
    <row r="2" spans="1:13" ht="14.5" x14ac:dyDescent="0.35">
      <c r="A2" s="452"/>
      <c r="B2" s="452"/>
      <c r="C2" s="452"/>
      <c r="D2" s="270" t="s">
        <v>0</v>
      </c>
      <c r="E2" s="93"/>
      <c r="F2" s="452"/>
      <c r="G2" s="452"/>
      <c r="H2" s="452"/>
      <c r="I2" s="452"/>
      <c r="J2" s="452"/>
      <c r="K2" s="452"/>
      <c r="L2" s="452"/>
      <c r="M2" s="452"/>
    </row>
    <row r="3" spans="1:13" ht="24" customHeight="1" x14ac:dyDescent="0.3">
      <c r="A3" s="3"/>
      <c r="B3" s="3"/>
      <c r="C3" s="3"/>
      <c r="D3" s="452"/>
      <c r="E3" s="452"/>
      <c r="F3" s="452"/>
      <c r="G3" s="452"/>
      <c r="H3" s="452"/>
      <c r="I3" s="452"/>
      <c r="J3" s="452"/>
      <c r="K3" s="452"/>
      <c r="L3" s="93"/>
      <c r="M3" s="105"/>
    </row>
    <row r="4" spans="1:13" ht="13" x14ac:dyDescent="0.3">
      <c r="A4" s="451" t="s">
        <v>1</v>
      </c>
      <c r="B4" s="736" t="str">
        <f>'2019 CCP Summary'!B4</f>
        <v>REV 0 July 29, 2019</v>
      </c>
      <c r="C4" s="736"/>
      <c r="D4" s="452"/>
      <c r="E4" s="452"/>
      <c r="F4" s="452"/>
      <c r="G4" s="452"/>
      <c r="H4" s="452"/>
      <c r="I4" s="452"/>
      <c r="J4" s="452"/>
      <c r="K4" s="452"/>
      <c r="L4" s="5"/>
      <c r="M4" s="22"/>
    </row>
    <row r="5" spans="1:13" ht="13" x14ac:dyDescent="0.3">
      <c r="A5" s="453" t="s">
        <v>2</v>
      </c>
      <c r="B5" s="746">
        <f>'2019 CCP Summary'!B5</f>
        <v>18106417</v>
      </c>
      <c r="C5" s="746"/>
      <c r="D5" s="452"/>
      <c r="E5" s="452"/>
      <c r="F5" s="452"/>
      <c r="G5" s="452"/>
      <c r="H5" s="452"/>
      <c r="I5" s="452"/>
      <c r="J5" s="452"/>
      <c r="K5" s="452"/>
      <c r="L5" s="5"/>
      <c r="M5" s="22"/>
    </row>
    <row r="6" spans="1:13" ht="13" x14ac:dyDescent="0.3">
      <c r="A6" s="453" t="s">
        <v>3</v>
      </c>
      <c r="B6" s="567" t="s">
        <v>370</v>
      </c>
      <c r="C6" s="567"/>
      <c r="D6" s="452"/>
      <c r="E6" s="452"/>
      <c r="F6" s="452"/>
      <c r="G6" s="5" t="s">
        <v>0</v>
      </c>
      <c r="H6" s="22" t="s">
        <v>0</v>
      </c>
      <c r="I6" s="452"/>
      <c r="J6" s="452"/>
      <c r="K6" s="452"/>
      <c r="L6" s="452"/>
      <c r="M6" s="452"/>
    </row>
    <row r="7" spans="1:13" ht="13" x14ac:dyDescent="0.3">
      <c r="A7" s="454" t="s">
        <v>5</v>
      </c>
      <c r="B7" s="85" t="str">
        <f>'2019 CCP Summary'!B7</f>
        <v>Tyrone Mine Closure Closeout Plan</v>
      </c>
      <c r="C7" s="85"/>
      <c r="D7" s="452"/>
      <c r="E7" s="452"/>
      <c r="F7" s="452"/>
      <c r="G7" s="679"/>
      <c r="H7" s="679"/>
      <c r="I7" s="452"/>
      <c r="J7" s="452"/>
      <c r="K7" s="452"/>
      <c r="L7" s="452"/>
      <c r="M7" s="452"/>
    </row>
    <row r="8" spans="1:13" x14ac:dyDescent="0.25">
      <c r="A8" s="103"/>
      <c r="B8" s="103"/>
      <c r="C8" s="103"/>
      <c r="D8" s="103"/>
      <c r="E8" s="120"/>
      <c r="F8" s="121"/>
      <c r="G8" s="103"/>
      <c r="H8" s="103"/>
      <c r="I8" s="452"/>
      <c r="J8" s="452"/>
      <c r="K8" s="452"/>
      <c r="L8" s="452"/>
      <c r="M8" s="452"/>
    </row>
    <row r="9" spans="1:13" ht="13" x14ac:dyDescent="0.3">
      <c r="A9" s="745" t="s">
        <v>371</v>
      </c>
      <c r="B9" s="745"/>
      <c r="C9" s="745"/>
      <c r="D9" s="745"/>
      <c r="E9" s="745"/>
      <c r="F9" s="745"/>
      <c r="G9" s="452"/>
      <c r="H9" s="452"/>
      <c r="I9" s="452"/>
      <c r="J9" s="452"/>
      <c r="K9" s="452"/>
      <c r="L9" s="452"/>
      <c r="M9" s="452"/>
    </row>
    <row r="10" spans="1:13" x14ac:dyDescent="0.25">
      <c r="A10" s="452" t="s">
        <v>372</v>
      </c>
      <c r="B10" s="122" t="s">
        <v>373</v>
      </c>
      <c r="C10" s="123">
        <v>256</v>
      </c>
      <c r="D10" s="85" t="s">
        <v>698</v>
      </c>
      <c r="E10" s="452"/>
      <c r="F10" s="452"/>
      <c r="G10" s="452"/>
      <c r="H10" s="452"/>
      <c r="I10" s="452"/>
      <c r="J10" s="452"/>
      <c r="K10" s="452"/>
      <c r="L10" s="452"/>
      <c r="M10" s="452"/>
    </row>
    <row r="11" spans="1:13" x14ac:dyDescent="0.25">
      <c r="A11" s="452" t="s">
        <v>374</v>
      </c>
      <c r="B11" s="122" t="s">
        <v>373</v>
      </c>
      <c r="C11" s="123">
        <v>3.36</v>
      </c>
      <c r="D11" s="85" t="s">
        <v>375</v>
      </c>
      <c r="E11" s="85"/>
      <c r="F11" s="85"/>
      <c r="G11" s="452"/>
      <c r="H11" s="452"/>
      <c r="I11" s="452"/>
      <c r="J11" s="452"/>
      <c r="K11" s="452"/>
      <c r="L11" s="452"/>
      <c r="M11" s="452"/>
    </row>
    <row r="12" spans="1:13" x14ac:dyDescent="0.25">
      <c r="A12" s="452" t="s">
        <v>376</v>
      </c>
      <c r="B12" s="122" t="s">
        <v>373</v>
      </c>
      <c r="C12" s="123">
        <v>0.21</v>
      </c>
      <c r="D12" s="85" t="s">
        <v>377</v>
      </c>
      <c r="E12" s="85"/>
      <c r="F12" s="85"/>
      <c r="G12" s="452"/>
      <c r="H12" s="452"/>
      <c r="I12" s="452"/>
      <c r="J12" s="452"/>
      <c r="K12" s="452"/>
      <c r="L12" s="452"/>
      <c r="M12" s="452"/>
    </row>
    <row r="13" spans="1:13" x14ac:dyDescent="0.25">
      <c r="A13" s="452" t="s">
        <v>378</v>
      </c>
      <c r="B13" s="122" t="s">
        <v>373</v>
      </c>
      <c r="C13" s="123">
        <f>3.38+0.15</f>
        <v>3.53</v>
      </c>
      <c r="D13" s="85" t="s">
        <v>379</v>
      </c>
      <c r="E13" s="85"/>
      <c r="F13" s="85"/>
      <c r="G13" s="452"/>
      <c r="H13" s="452"/>
      <c r="I13" s="452"/>
      <c r="J13" s="452"/>
      <c r="K13" s="452"/>
      <c r="L13" s="452"/>
      <c r="M13" s="452"/>
    </row>
    <row r="14" spans="1:13" x14ac:dyDescent="0.25">
      <c r="A14" s="452" t="s">
        <v>380</v>
      </c>
      <c r="B14" s="122" t="s">
        <v>373</v>
      </c>
      <c r="C14" s="123">
        <f>3.38+0.15</f>
        <v>3.53</v>
      </c>
      <c r="D14" s="85" t="s">
        <v>379</v>
      </c>
      <c r="E14" s="85"/>
      <c r="F14" s="85"/>
      <c r="G14" s="452"/>
      <c r="H14" s="452"/>
      <c r="I14" s="452"/>
      <c r="J14" s="452"/>
      <c r="K14" s="452"/>
      <c r="L14" s="452"/>
      <c r="M14" s="452"/>
    </row>
    <row r="15" spans="1:13" x14ac:dyDescent="0.25">
      <c r="A15" s="452" t="s">
        <v>381</v>
      </c>
      <c r="B15" s="122" t="s">
        <v>373</v>
      </c>
      <c r="C15" s="123">
        <f>7.37+0.15</f>
        <v>7.5200000000000005</v>
      </c>
      <c r="D15" s="85" t="s">
        <v>382</v>
      </c>
      <c r="E15" s="85"/>
      <c r="F15" s="85"/>
      <c r="G15" s="452"/>
      <c r="H15" s="452"/>
      <c r="I15" s="452"/>
      <c r="J15" s="452"/>
      <c r="K15" s="452"/>
      <c r="L15" s="452"/>
      <c r="M15" s="452"/>
    </row>
    <row r="16" spans="1:13" x14ac:dyDescent="0.25">
      <c r="A16" s="452" t="s">
        <v>383</v>
      </c>
      <c r="B16" s="122" t="s">
        <v>373</v>
      </c>
      <c r="C16" s="123">
        <f>6.29+0.15</f>
        <v>6.44</v>
      </c>
      <c r="D16" s="85" t="s">
        <v>382</v>
      </c>
      <c r="E16" s="85"/>
      <c r="F16" s="85"/>
      <c r="G16" s="452"/>
      <c r="H16" s="452"/>
      <c r="I16" s="452"/>
      <c r="J16" s="452"/>
      <c r="K16" s="452"/>
      <c r="L16" s="452"/>
      <c r="M16" s="452"/>
    </row>
    <row r="17" spans="1:16" x14ac:dyDescent="0.25">
      <c r="A17" s="452" t="s">
        <v>384</v>
      </c>
      <c r="B17" s="122" t="s">
        <v>373</v>
      </c>
      <c r="C17" s="123">
        <f>8+0.15</f>
        <v>8.15</v>
      </c>
      <c r="D17" s="85" t="s">
        <v>385</v>
      </c>
      <c r="E17" s="85"/>
      <c r="F17" s="85"/>
      <c r="G17" s="452"/>
      <c r="H17" s="452"/>
      <c r="I17" s="452"/>
      <c r="J17" s="452"/>
      <c r="K17" s="452"/>
      <c r="L17" s="452"/>
      <c r="M17" s="452"/>
      <c r="N17" s="452"/>
      <c r="O17" s="452"/>
      <c r="P17" s="452"/>
    </row>
    <row r="18" spans="1:16" x14ac:dyDescent="0.25">
      <c r="A18" s="452" t="s">
        <v>386</v>
      </c>
      <c r="B18" s="122" t="s">
        <v>373</v>
      </c>
      <c r="C18" s="123">
        <f>2.94+0.15</f>
        <v>3.09</v>
      </c>
      <c r="D18" s="85" t="s">
        <v>385</v>
      </c>
      <c r="E18" s="85"/>
      <c r="F18" s="85"/>
      <c r="G18" s="452"/>
      <c r="H18" s="452"/>
      <c r="I18" s="452"/>
      <c r="J18" s="452"/>
      <c r="K18" s="452"/>
      <c r="L18" s="452"/>
      <c r="M18" s="452"/>
      <c r="N18" s="452"/>
      <c r="O18" s="452"/>
      <c r="P18" s="452"/>
    </row>
    <row r="19" spans="1:16" x14ac:dyDescent="0.25">
      <c r="A19" s="452"/>
      <c r="B19" s="122"/>
      <c r="C19" s="123"/>
      <c r="D19" s="85"/>
      <c r="E19" s="85"/>
      <c r="F19" s="85"/>
      <c r="G19" s="452"/>
      <c r="H19" s="452"/>
      <c r="I19" s="452"/>
      <c r="J19" s="452"/>
      <c r="K19" s="452"/>
      <c r="L19" s="452"/>
      <c r="M19" s="452"/>
      <c r="N19" s="452"/>
      <c r="O19" s="452"/>
      <c r="P19" s="452"/>
    </row>
    <row r="20" spans="1:16" ht="13" x14ac:dyDescent="0.3">
      <c r="A20" s="110" t="s">
        <v>387</v>
      </c>
      <c r="B20" s="122"/>
      <c r="C20" s="123"/>
      <c r="D20" s="85"/>
      <c r="E20" s="85"/>
      <c r="F20" s="85"/>
      <c r="G20" s="452"/>
      <c r="H20" s="452"/>
      <c r="I20" s="452"/>
      <c r="J20" s="452"/>
      <c r="K20" s="452"/>
      <c r="L20" s="452"/>
      <c r="M20" s="452"/>
      <c r="N20" s="452"/>
      <c r="O20" s="452"/>
      <c r="P20" s="452"/>
    </row>
    <row r="21" spans="1:16" ht="14.5" x14ac:dyDescent="0.35">
      <c r="A21" s="452" t="s">
        <v>388</v>
      </c>
      <c r="B21" s="122" t="s">
        <v>373</v>
      </c>
      <c r="C21" s="564">
        <v>4.4694352896556322E-2</v>
      </c>
      <c r="D21" s="565" t="s">
        <v>656</v>
      </c>
      <c r="E21" s="417"/>
      <c r="F21" s="417"/>
      <c r="G21" s="417"/>
      <c r="H21" s="417"/>
      <c r="I21" s="417"/>
      <c r="J21" s="452"/>
      <c r="K21" s="452"/>
      <c r="L21" s="452"/>
      <c r="M21" s="452"/>
      <c r="N21" s="452"/>
      <c r="O21" s="452"/>
      <c r="P21" s="413" t="s">
        <v>389</v>
      </c>
    </row>
    <row r="22" spans="1:16" x14ac:dyDescent="0.25">
      <c r="A22" s="452"/>
      <c r="B22" s="122" t="s">
        <v>373</v>
      </c>
      <c r="C22" s="564">
        <v>4.5333893342660331E-2</v>
      </c>
      <c r="D22" s="565" t="s">
        <v>655</v>
      </c>
      <c r="E22" s="565"/>
      <c r="F22" s="565"/>
      <c r="G22" s="417"/>
      <c r="H22" s="417"/>
      <c r="I22" s="417"/>
      <c r="J22" s="452"/>
      <c r="K22" s="452"/>
      <c r="L22" s="452"/>
      <c r="M22" s="452"/>
      <c r="N22" s="452"/>
      <c r="O22" s="452"/>
      <c r="P22" s="452"/>
    </row>
    <row r="23" spans="1:16" ht="13" x14ac:dyDescent="0.3">
      <c r="A23" s="110" t="s">
        <v>390</v>
      </c>
      <c r="B23" s="122"/>
      <c r="C23" s="123"/>
      <c r="D23" s="85"/>
      <c r="E23" s="85"/>
      <c r="F23" s="85"/>
      <c r="G23" s="452"/>
      <c r="H23" s="452"/>
      <c r="I23" s="452"/>
      <c r="J23" s="452"/>
      <c r="K23" s="452"/>
      <c r="L23" s="452"/>
      <c r="M23" s="452"/>
      <c r="N23" s="452"/>
      <c r="O23" s="452"/>
      <c r="P23" s="452"/>
    </row>
    <row r="24" spans="1:16" x14ac:dyDescent="0.25">
      <c r="A24" s="452" t="s">
        <v>391</v>
      </c>
      <c r="B24" s="122" t="s">
        <v>373</v>
      </c>
      <c r="C24" s="123">
        <v>403</v>
      </c>
      <c r="D24" s="85" t="s">
        <v>699</v>
      </c>
      <c r="E24" s="452"/>
      <c r="F24" s="452"/>
      <c r="G24" s="452"/>
      <c r="H24" s="452"/>
      <c r="I24" s="452"/>
      <c r="J24" s="452"/>
      <c r="K24" s="452"/>
      <c r="L24" s="452"/>
      <c r="M24" s="452"/>
      <c r="N24" s="452"/>
      <c r="O24" s="452"/>
      <c r="P24" s="452"/>
    </row>
    <row r="25" spans="1:16" x14ac:dyDescent="0.25">
      <c r="A25" s="452"/>
      <c r="B25" s="122"/>
      <c r="C25" s="123"/>
      <c r="D25" s="85"/>
      <c r="E25" s="452"/>
      <c r="F25" s="452"/>
      <c r="G25" s="452"/>
      <c r="H25" s="452"/>
      <c r="I25" s="452"/>
      <c r="J25" s="452"/>
      <c r="K25" s="452"/>
      <c r="L25" s="452"/>
      <c r="M25" s="452"/>
      <c r="N25" s="452"/>
      <c r="O25" s="452"/>
      <c r="P25" s="452"/>
    </row>
    <row r="26" spans="1:16" ht="13" x14ac:dyDescent="0.3">
      <c r="A26" s="110" t="s">
        <v>392</v>
      </c>
      <c r="B26" s="122"/>
      <c r="C26" s="123"/>
      <c r="D26" s="381" t="s">
        <v>393</v>
      </c>
      <c r="E26" s="452"/>
      <c r="F26" s="452"/>
      <c r="G26" s="452"/>
      <c r="H26" s="452"/>
      <c r="I26" s="452"/>
      <c r="J26" s="452"/>
      <c r="K26" s="452"/>
      <c r="L26" s="452"/>
      <c r="M26" s="452"/>
      <c r="N26" s="452"/>
      <c r="O26" s="452"/>
      <c r="P26" s="452"/>
    </row>
    <row r="27" spans="1:16" ht="12.75" customHeight="1" x14ac:dyDescent="0.25">
      <c r="A27" s="550" t="s">
        <v>394</v>
      </c>
      <c r="B27" s="122" t="s">
        <v>373</v>
      </c>
      <c r="C27" s="628">
        <v>18.600000000000001</v>
      </c>
      <c r="D27" s="747" t="s">
        <v>714</v>
      </c>
      <c r="E27" s="747"/>
      <c r="F27" s="747"/>
      <c r="G27" s="747"/>
      <c r="H27" s="747"/>
      <c r="I27" s="747"/>
      <c r="J27" s="747"/>
      <c r="K27" s="452"/>
      <c r="L27" s="452"/>
      <c r="M27" s="452"/>
      <c r="N27" s="452"/>
      <c r="O27" s="452"/>
      <c r="P27" s="452"/>
    </row>
    <row r="28" spans="1:16" ht="12.75" customHeight="1" x14ac:dyDescent="0.25">
      <c r="A28" s="550" t="s">
        <v>395</v>
      </c>
      <c r="B28" s="122" t="s">
        <v>373</v>
      </c>
      <c r="C28" s="628">
        <v>31.1</v>
      </c>
      <c r="D28" s="747" t="s">
        <v>708</v>
      </c>
      <c r="E28" s="747"/>
      <c r="F28" s="747"/>
      <c r="G28" s="747"/>
      <c r="H28" s="747"/>
      <c r="I28" s="747"/>
      <c r="J28" s="747"/>
      <c r="K28" s="452"/>
      <c r="L28" s="452"/>
      <c r="M28" s="452"/>
      <c r="N28" s="452"/>
      <c r="O28" s="452"/>
      <c r="P28" s="452"/>
    </row>
    <row r="29" spans="1:16" ht="12.75" customHeight="1" x14ac:dyDescent="0.25">
      <c r="A29" s="550" t="s">
        <v>396</v>
      </c>
      <c r="B29" s="122" t="s">
        <v>373</v>
      </c>
      <c r="C29" s="628">
        <v>19.829999999999998</v>
      </c>
      <c r="D29" s="747" t="s">
        <v>707</v>
      </c>
      <c r="E29" s="747"/>
      <c r="F29" s="747"/>
      <c r="G29" s="747"/>
      <c r="H29" s="747"/>
      <c r="I29" s="747"/>
      <c r="J29" s="747"/>
      <c r="K29" s="452"/>
      <c r="L29" s="452"/>
      <c r="M29" s="452"/>
      <c r="N29" s="452"/>
      <c r="O29" s="452"/>
      <c r="P29" s="452"/>
    </row>
    <row r="30" spans="1:16" ht="27" customHeight="1" x14ac:dyDescent="0.25">
      <c r="A30" s="622" t="s">
        <v>397</v>
      </c>
      <c r="B30" s="623" t="s">
        <v>373</v>
      </c>
      <c r="C30" s="624">
        <v>5.94</v>
      </c>
      <c r="D30" s="748" t="s">
        <v>709</v>
      </c>
      <c r="E30" s="748"/>
      <c r="F30" s="748"/>
      <c r="G30" s="748"/>
      <c r="H30" s="748"/>
      <c r="I30" s="748"/>
      <c r="J30" s="748"/>
      <c r="K30" s="452"/>
      <c r="L30" s="452"/>
      <c r="M30" s="452"/>
      <c r="N30" s="452"/>
      <c r="O30" s="452"/>
      <c r="P30" s="452"/>
    </row>
    <row r="31" spans="1:16" ht="27" customHeight="1" x14ac:dyDescent="0.25">
      <c r="A31" s="625" t="s">
        <v>398</v>
      </c>
      <c r="B31" s="623" t="s">
        <v>373</v>
      </c>
      <c r="C31" s="624">
        <f>17.61+5.63+0.6</f>
        <v>23.84</v>
      </c>
      <c r="D31" s="749" t="s">
        <v>710</v>
      </c>
      <c r="E31" s="749"/>
      <c r="F31" s="749"/>
      <c r="G31" s="749"/>
      <c r="H31" s="749"/>
      <c r="I31" s="749"/>
      <c r="J31" s="749"/>
      <c r="K31" s="452"/>
      <c r="L31" s="452"/>
      <c r="M31" s="452"/>
      <c r="N31" s="452"/>
      <c r="O31" s="452"/>
      <c r="P31" s="452"/>
    </row>
    <row r="32" spans="1:16" ht="27" customHeight="1" x14ac:dyDescent="0.25">
      <c r="A32" s="625" t="s">
        <v>399</v>
      </c>
      <c r="B32" s="623" t="s">
        <v>373</v>
      </c>
      <c r="C32" s="626">
        <f>32.4+12.45+0.6</f>
        <v>45.449999999999996</v>
      </c>
      <c r="D32" s="750" t="s">
        <v>710</v>
      </c>
      <c r="E32" s="750"/>
      <c r="F32" s="750"/>
      <c r="G32" s="750"/>
      <c r="H32" s="750"/>
      <c r="I32" s="750"/>
      <c r="J32" s="750"/>
      <c r="K32" s="452"/>
      <c r="L32" s="452"/>
      <c r="M32" s="452"/>
      <c r="N32" s="452"/>
      <c r="O32" s="452"/>
      <c r="P32" s="452"/>
    </row>
    <row r="33" spans="1:26" ht="27" customHeight="1" x14ac:dyDescent="0.25">
      <c r="A33" s="625" t="s">
        <v>400</v>
      </c>
      <c r="B33" s="623" t="s">
        <v>373</v>
      </c>
      <c r="C33" s="626">
        <f>38.51+16.02+0.6</f>
        <v>55.13</v>
      </c>
      <c r="D33" s="750" t="s">
        <v>713</v>
      </c>
      <c r="E33" s="750"/>
      <c r="F33" s="750"/>
      <c r="G33" s="750"/>
      <c r="H33" s="750"/>
      <c r="I33" s="750"/>
      <c r="J33" s="750"/>
      <c r="K33" s="452"/>
      <c r="L33" s="452"/>
      <c r="M33" s="452"/>
      <c r="N33" s="452"/>
      <c r="O33" s="452"/>
      <c r="P33" s="452"/>
      <c r="Q33" s="452"/>
      <c r="R33" s="452"/>
      <c r="S33" s="452"/>
      <c r="T33" s="452"/>
      <c r="U33" s="452"/>
      <c r="V33" s="452"/>
      <c r="W33" s="452"/>
      <c r="X33" s="452"/>
      <c r="Y33" s="452"/>
      <c r="Z33" s="452"/>
    </row>
    <row r="34" spans="1:26" ht="27" customHeight="1" x14ac:dyDescent="0.25">
      <c r="A34" s="625" t="s">
        <v>401</v>
      </c>
      <c r="B34" s="623" t="s">
        <v>373</v>
      </c>
      <c r="C34" s="626">
        <f>(31.55+10.75+0.6)*1.26</f>
        <v>54.054000000000002</v>
      </c>
      <c r="D34" s="750" t="s">
        <v>712</v>
      </c>
      <c r="E34" s="750"/>
      <c r="F34" s="750"/>
      <c r="G34" s="750"/>
      <c r="H34" s="750"/>
      <c r="I34" s="750"/>
      <c r="J34" s="750"/>
      <c r="K34" s="452"/>
      <c r="L34" s="452"/>
      <c r="M34" s="452"/>
      <c r="N34" s="452"/>
      <c r="O34" s="452"/>
      <c r="P34" s="452"/>
      <c r="Q34" s="452"/>
      <c r="R34" s="452"/>
      <c r="S34" s="452"/>
      <c r="T34" s="452"/>
      <c r="U34" s="452"/>
      <c r="V34" s="452"/>
      <c r="W34" s="452"/>
      <c r="X34" s="452"/>
      <c r="Y34" s="452"/>
      <c r="Z34" s="452"/>
    </row>
    <row r="35" spans="1:26" ht="27" customHeight="1" x14ac:dyDescent="0.25">
      <c r="A35" s="622" t="s">
        <v>167</v>
      </c>
      <c r="B35" s="623" t="s">
        <v>373</v>
      </c>
      <c r="C35" s="626">
        <f>26.5+15.56+0.6+6</f>
        <v>48.660000000000004</v>
      </c>
      <c r="D35" s="750" t="s">
        <v>711</v>
      </c>
      <c r="E35" s="750"/>
      <c r="F35" s="750"/>
      <c r="G35" s="750"/>
      <c r="H35" s="750"/>
      <c r="I35" s="750"/>
      <c r="J35" s="750"/>
      <c r="K35" s="452"/>
      <c r="L35" s="452"/>
      <c r="M35" s="452"/>
      <c r="N35" s="452"/>
      <c r="O35" s="452"/>
      <c r="P35" s="452"/>
      <c r="Q35" s="452"/>
      <c r="R35" s="452"/>
      <c r="S35" s="452"/>
      <c r="T35" s="452"/>
      <c r="U35" s="452"/>
      <c r="V35" s="452"/>
      <c r="W35" s="452"/>
      <c r="X35" s="452"/>
      <c r="Y35" s="452"/>
      <c r="Z35" s="452"/>
    </row>
    <row r="36" spans="1:26" ht="13" x14ac:dyDescent="0.3">
      <c r="A36" s="110" t="s">
        <v>402</v>
      </c>
      <c r="B36" s="122"/>
      <c r="C36" s="123"/>
      <c r="D36" s="85"/>
      <c r="E36" s="452"/>
      <c r="F36" s="452"/>
      <c r="G36" s="452"/>
      <c r="H36" s="452"/>
      <c r="I36" s="452"/>
      <c r="J36" s="452"/>
      <c r="K36" s="452"/>
      <c r="L36" s="452"/>
      <c r="M36" s="452"/>
      <c r="N36" s="452"/>
      <c r="O36" s="452"/>
      <c r="P36" s="452"/>
      <c r="Q36" s="452"/>
      <c r="R36" s="452"/>
      <c r="S36" s="452"/>
      <c r="T36" s="452"/>
      <c r="U36" s="452"/>
      <c r="V36" s="452"/>
      <c r="W36" s="452"/>
      <c r="X36" s="452"/>
      <c r="Y36" s="452"/>
      <c r="Z36" s="452"/>
    </row>
    <row r="37" spans="1:26" x14ac:dyDescent="0.25">
      <c r="A37" s="452" t="s">
        <v>110</v>
      </c>
      <c r="B37" s="122" t="s">
        <v>373</v>
      </c>
      <c r="C37" s="273">
        <v>1.4999999999999999E-2</v>
      </c>
      <c r="D37" s="85" t="s">
        <v>403</v>
      </c>
      <c r="E37" s="452"/>
      <c r="F37" s="452"/>
      <c r="G37" s="452"/>
      <c r="H37" s="452"/>
      <c r="I37" s="452"/>
      <c r="J37" s="452"/>
      <c r="K37" s="452"/>
      <c r="L37" s="452"/>
      <c r="M37" s="452"/>
      <c r="N37" s="452"/>
      <c r="O37" s="452"/>
      <c r="P37" s="452"/>
      <c r="Q37" s="452"/>
      <c r="R37" s="452"/>
      <c r="S37" s="452"/>
      <c r="T37" s="452"/>
      <c r="U37" s="452"/>
      <c r="V37" s="452"/>
      <c r="W37" s="452"/>
      <c r="X37" s="452"/>
      <c r="Y37" s="452"/>
      <c r="Z37" s="452"/>
    </row>
    <row r="38" spans="1:26" x14ac:dyDescent="0.25">
      <c r="A38" s="452" t="s">
        <v>134</v>
      </c>
      <c r="B38" s="122" t="s">
        <v>373</v>
      </c>
      <c r="C38" s="273">
        <v>1.4999999999999999E-2</v>
      </c>
      <c r="D38" s="85" t="s">
        <v>403</v>
      </c>
      <c r="E38" s="452"/>
      <c r="F38" s="452"/>
      <c r="G38" s="452"/>
      <c r="H38" s="452"/>
      <c r="I38" s="452"/>
      <c r="J38" s="452"/>
      <c r="K38" s="452"/>
      <c r="L38" s="452"/>
      <c r="M38" s="452"/>
      <c r="N38" s="452"/>
      <c r="O38" s="452"/>
      <c r="P38" s="452"/>
      <c r="Q38" s="452"/>
      <c r="R38" s="452"/>
      <c r="S38" s="452"/>
      <c r="T38" s="452"/>
      <c r="U38" s="452"/>
      <c r="V38" s="452"/>
      <c r="W38" s="452"/>
      <c r="X38" s="452"/>
      <c r="Y38" s="452"/>
      <c r="Z38" s="452"/>
    </row>
    <row r="39" spans="1:26" ht="12.75" customHeight="1" x14ac:dyDescent="0.25">
      <c r="A39" s="452"/>
      <c r="B39" s="122"/>
      <c r="C39" s="123"/>
      <c r="D39" s="629"/>
      <c r="E39" s="629"/>
      <c r="F39" s="629"/>
      <c r="G39" s="629"/>
      <c r="H39" s="629"/>
      <c r="I39" s="629"/>
      <c r="J39" s="629"/>
      <c r="K39" s="629"/>
      <c r="L39" s="629"/>
      <c r="M39" s="629"/>
      <c r="N39" s="629"/>
      <c r="O39" s="629"/>
      <c r="P39" s="629"/>
      <c r="Q39" s="629"/>
      <c r="R39" s="629"/>
      <c r="S39" s="629"/>
      <c r="T39" s="629"/>
      <c r="U39" s="629"/>
      <c r="V39" s="629"/>
      <c r="W39" s="629"/>
      <c r="X39" s="629"/>
      <c r="Y39" s="629"/>
      <c r="Z39" s="629"/>
    </row>
    <row r="40" spans="1:26" ht="30" customHeight="1" x14ac:dyDescent="0.25">
      <c r="A40" s="622" t="s">
        <v>405</v>
      </c>
      <c r="B40" s="622" t="s">
        <v>373</v>
      </c>
      <c r="C40" s="624">
        <v>50</v>
      </c>
      <c r="D40" s="751" t="s">
        <v>404</v>
      </c>
      <c r="E40" s="751"/>
      <c r="F40" s="751"/>
      <c r="G40" s="751"/>
      <c r="H40" s="751"/>
      <c r="I40" s="751"/>
      <c r="J40" s="751"/>
      <c r="K40" s="629"/>
      <c r="L40" s="629"/>
      <c r="M40" s="629"/>
      <c r="N40" s="629"/>
      <c r="O40" s="629"/>
      <c r="P40" s="629"/>
      <c r="Q40" s="629"/>
      <c r="R40" s="629"/>
      <c r="S40" s="629"/>
      <c r="T40" s="629"/>
      <c r="U40" s="629"/>
      <c r="V40" s="629"/>
      <c r="W40" s="629"/>
      <c r="X40" s="629"/>
      <c r="Y40" s="629"/>
      <c r="Z40" s="629"/>
    </row>
    <row r="41" spans="1:26" ht="40" customHeight="1" x14ac:dyDescent="0.25">
      <c r="A41" s="279"/>
      <c r="B41" s="281"/>
      <c r="C41" s="281"/>
      <c r="D41" s="744" t="s">
        <v>715</v>
      </c>
      <c r="E41" s="744"/>
      <c r="F41" s="744"/>
      <c r="G41" s="744"/>
      <c r="H41" s="744"/>
      <c r="I41" s="744"/>
      <c r="J41" s="744"/>
      <c r="K41" s="452"/>
      <c r="L41" s="452"/>
      <c r="M41" s="452"/>
      <c r="N41" s="452"/>
      <c r="O41" s="452"/>
      <c r="P41" s="452"/>
      <c r="Q41" s="452"/>
      <c r="R41" s="452"/>
      <c r="S41" s="452"/>
      <c r="T41" s="452"/>
      <c r="U41" s="452"/>
      <c r="V41" s="452"/>
      <c r="W41" s="452"/>
      <c r="X41" s="452"/>
      <c r="Y41" s="452"/>
      <c r="Z41" s="452"/>
    </row>
    <row r="42" spans="1:26" ht="13" x14ac:dyDescent="0.3">
      <c r="A42" s="110" t="s">
        <v>67</v>
      </c>
      <c r="B42" s="452"/>
      <c r="C42" s="281"/>
      <c r="D42" s="281"/>
      <c r="E42" s="7"/>
      <c r="F42" s="7"/>
      <c r="G42" s="7"/>
      <c r="H42" s="7"/>
      <c r="I42" s="7"/>
      <c r="J42" s="452"/>
      <c r="K42" s="452"/>
      <c r="L42" s="452"/>
      <c r="M42" s="452"/>
      <c r="N42" s="452"/>
      <c r="O42" s="452"/>
      <c r="P42" s="452"/>
      <c r="Q42" s="452"/>
      <c r="R42" s="452"/>
      <c r="S42" s="452"/>
      <c r="T42" s="452"/>
      <c r="U42" s="452"/>
      <c r="V42" s="452"/>
      <c r="W42" s="452"/>
      <c r="X42" s="452"/>
      <c r="Y42" s="452"/>
      <c r="Z42" s="452"/>
    </row>
    <row r="43" spans="1:26" ht="13.5" x14ac:dyDescent="0.25">
      <c r="A43" s="627" t="s">
        <v>705</v>
      </c>
      <c r="B43" s="452"/>
      <c r="C43" s="281"/>
      <c r="D43" s="281"/>
      <c r="E43" s="7"/>
      <c r="F43" s="7"/>
      <c r="G43" s="7"/>
      <c r="H43" s="7"/>
      <c r="I43" s="7"/>
      <c r="J43" s="452"/>
      <c r="K43" s="452"/>
      <c r="L43" s="452"/>
      <c r="M43" s="452"/>
      <c r="N43" s="452"/>
      <c r="O43" s="452"/>
      <c r="P43" s="452"/>
      <c r="Q43" s="452"/>
      <c r="R43" s="452"/>
      <c r="S43" s="452"/>
      <c r="T43" s="452"/>
      <c r="U43" s="452"/>
      <c r="V43" s="452"/>
      <c r="W43" s="452"/>
      <c r="X43" s="452"/>
      <c r="Y43" s="452"/>
      <c r="Z43" s="452"/>
    </row>
    <row r="44" spans="1:26" ht="13.5" x14ac:dyDescent="0.25">
      <c r="A44" s="627" t="s">
        <v>706</v>
      </c>
      <c r="B44" s="452"/>
      <c r="C44" s="281"/>
      <c r="D44" s="281"/>
      <c r="E44" s="7"/>
      <c r="F44" s="7"/>
      <c r="G44" s="7"/>
      <c r="H44" s="7"/>
      <c r="I44" s="7"/>
      <c r="J44" s="452"/>
      <c r="K44" s="452"/>
      <c r="L44" s="452"/>
      <c r="M44" s="452"/>
      <c r="N44" s="452"/>
      <c r="O44" s="452"/>
      <c r="P44" s="452"/>
      <c r="Q44" s="452"/>
      <c r="R44" s="452"/>
      <c r="S44" s="452"/>
      <c r="T44" s="452"/>
      <c r="U44" s="452"/>
      <c r="V44" s="452"/>
      <c r="W44" s="452"/>
      <c r="X44" s="452"/>
      <c r="Y44" s="452"/>
      <c r="Z44" s="452"/>
    </row>
    <row r="45" spans="1:26" x14ac:dyDescent="0.25">
      <c r="A45" s="283"/>
      <c r="B45" s="280"/>
      <c r="C45" s="280"/>
      <c r="D45" s="280"/>
      <c r="E45" s="280"/>
      <c r="F45" s="280"/>
      <c r="G45" s="280"/>
      <c r="H45" s="7"/>
      <c r="I45" s="7"/>
      <c r="J45" s="452"/>
      <c r="K45" s="452"/>
      <c r="L45" s="452"/>
      <c r="M45" s="452"/>
      <c r="N45" s="452"/>
      <c r="O45" s="452"/>
      <c r="P45" s="452"/>
      <c r="Q45" s="452"/>
      <c r="R45" s="452"/>
      <c r="S45" s="452"/>
      <c r="T45" s="452"/>
      <c r="U45" s="452"/>
      <c r="V45" s="452"/>
      <c r="W45" s="452"/>
      <c r="X45" s="452"/>
      <c r="Y45" s="452"/>
      <c r="Z45" s="452"/>
    </row>
    <row r="46" spans="1:26" x14ac:dyDescent="0.25">
      <c r="A46" s="282"/>
      <c r="B46" s="280"/>
      <c r="C46" s="280"/>
      <c r="D46" s="280"/>
      <c r="E46" s="280"/>
      <c r="F46" s="280"/>
      <c r="G46" s="280"/>
      <c r="H46" s="7"/>
      <c r="I46" s="7"/>
      <c r="J46" s="452"/>
      <c r="K46" s="452"/>
      <c r="L46" s="452"/>
      <c r="M46" s="452"/>
      <c r="N46" s="452"/>
      <c r="O46" s="452"/>
      <c r="P46" s="452"/>
      <c r="Q46" s="452"/>
      <c r="R46" s="452"/>
      <c r="S46" s="452"/>
      <c r="T46" s="452"/>
      <c r="U46" s="452"/>
      <c r="V46" s="452"/>
      <c r="W46" s="452"/>
      <c r="X46" s="452"/>
      <c r="Y46" s="452"/>
      <c r="Z46" s="452"/>
    </row>
    <row r="47" spans="1:26" x14ac:dyDescent="0.25">
      <c r="A47" s="283"/>
      <c r="B47" s="280"/>
      <c r="C47" s="280"/>
      <c r="D47" s="280"/>
      <c r="E47" s="280"/>
      <c r="F47" s="280"/>
      <c r="G47" s="280"/>
      <c r="H47" s="7"/>
      <c r="I47" s="7"/>
      <c r="J47" s="452"/>
      <c r="K47" s="452"/>
      <c r="L47" s="452"/>
      <c r="M47" s="452"/>
      <c r="N47" s="452"/>
      <c r="O47" s="452"/>
      <c r="P47" s="452"/>
      <c r="Q47" s="452"/>
      <c r="R47" s="452"/>
      <c r="S47" s="452"/>
      <c r="T47" s="452"/>
      <c r="U47" s="452"/>
      <c r="V47" s="452"/>
      <c r="W47" s="452"/>
      <c r="X47" s="452"/>
      <c r="Y47" s="452"/>
      <c r="Z47" s="452"/>
    </row>
    <row r="48" spans="1:26" x14ac:dyDescent="0.25">
      <c r="A48" s="280"/>
      <c r="B48" s="280"/>
      <c r="C48" s="280"/>
      <c r="D48" s="280"/>
      <c r="E48" s="280"/>
      <c r="F48" s="280"/>
      <c r="G48" s="280"/>
      <c r="H48" s="7"/>
      <c r="I48" s="7"/>
      <c r="J48" s="452"/>
      <c r="K48" s="452"/>
      <c r="L48" s="452"/>
      <c r="M48" s="452"/>
      <c r="N48" s="452"/>
      <c r="O48" s="452"/>
      <c r="P48" s="452"/>
      <c r="Q48" s="452"/>
      <c r="R48" s="452"/>
      <c r="S48" s="452"/>
      <c r="T48" s="452"/>
      <c r="U48" s="452"/>
      <c r="V48" s="452"/>
      <c r="W48" s="452"/>
      <c r="X48" s="452"/>
      <c r="Y48" s="452"/>
      <c r="Z48" s="452"/>
    </row>
    <row r="49" spans="1:9" x14ac:dyDescent="0.25">
      <c r="A49" s="280"/>
      <c r="B49" s="280"/>
      <c r="C49" s="280"/>
      <c r="D49" s="280"/>
      <c r="E49" s="280"/>
      <c r="F49" s="280"/>
      <c r="G49" s="280"/>
      <c r="H49" s="7"/>
      <c r="I49" s="7"/>
    </row>
  </sheetData>
  <sheetProtection algorithmName="SHA-512" hashValue="4l1u2tRlCRB03htelYPf0kNd8DcShL2lVASLr/kSvghILmTbJat0Df8dwIH/l2jsoHJHQDoA6BP9YIqdLLbWzg==" saltValue="1VLcGU7PsPZColE3PlIRMA==" spinCount="100000" sheet="1" objects="1" scenarios="1"/>
  <mergeCells count="15">
    <mergeCell ref="D41:J41"/>
    <mergeCell ref="G7:H7"/>
    <mergeCell ref="A9:F9"/>
    <mergeCell ref="B4:C4"/>
    <mergeCell ref="B5:C5"/>
    <mergeCell ref="D27:J27"/>
    <mergeCell ref="D28:J28"/>
    <mergeCell ref="D29:J29"/>
    <mergeCell ref="D30:J30"/>
    <mergeCell ref="D31:J31"/>
    <mergeCell ref="D32:J32"/>
    <mergeCell ref="D33:J33"/>
    <mergeCell ref="D34:J34"/>
    <mergeCell ref="D35:J35"/>
    <mergeCell ref="D40:J40"/>
  </mergeCells>
  <hyperlinks>
    <hyperlink ref="P21" r:id="rId1" xr:uid="{00000000-0004-0000-0E00-000000000000}"/>
  </hyperlinks>
  <pageMargins left="0.7" right="0.7" top="0.75" bottom="0.75" header="0.3" footer="0.3"/>
  <pageSetup scale="81" fitToHeight="0" orientation="landscape" horizontalDpi="1200" verticalDpi="1200" r:id="rId2"/>
  <headerFooter scaleWithDoc="0">
    <oddFooter>&amp;R&amp;"Arial,Regular"&amp;8&amp;P of 2</oddFooter>
  </headerFooter>
  <rowBreaks count="1" manualBreakCount="1">
    <brk id="35" max="9" man="1"/>
  </rowBreak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2:Y390"/>
  <sheetViews>
    <sheetView view="pageBreakPreview" topLeftCell="A340" zoomScale="60" zoomScaleNormal="70" workbookViewId="0">
      <selection activeCell="G266" sqref="G266"/>
    </sheetView>
  </sheetViews>
  <sheetFormatPr defaultRowHeight="14.5" x14ac:dyDescent="0.35"/>
  <cols>
    <col min="1" max="1" width="48.26953125" style="21" customWidth="1"/>
    <col min="2" max="2" width="7.26953125" style="21" customWidth="1"/>
    <col min="3" max="3" width="16.54296875" style="21" customWidth="1"/>
    <col min="4" max="4" width="23.7265625" style="21" bestFit="1" customWidth="1"/>
    <col min="5" max="5" width="2" style="21" bestFit="1" customWidth="1"/>
    <col min="6" max="6" width="12.26953125" style="21" bestFit="1" customWidth="1"/>
    <col min="7" max="7" width="15" style="21" bestFit="1" customWidth="1"/>
    <col min="8" max="8" width="2" style="21" bestFit="1" customWidth="1"/>
    <col min="9" max="9" width="12.7265625" style="21" bestFit="1" customWidth="1"/>
    <col min="10" max="10" width="9.26953125" style="21"/>
    <col min="11" max="11" width="2.26953125" style="21" bestFit="1" customWidth="1"/>
    <col min="12" max="12" width="10.36328125" style="21" customWidth="1"/>
    <col min="13" max="13" width="15.26953125" style="21" customWidth="1"/>
    <col min="14" max="14" width="2.26953125" style="21" bestFit="1" customWidth="1"/>
    <col min="15" max="15" width="10.26953125" style="21" customWidth="1"/>
    <col min="16" max="16" width="13.26953125" style="21" customWidth="1"/>
    <col min="17" max="17" width="2.54296875" style="21" customWidth="1"/>
    <col min="18" max="18" width="10.7265625" style="21" customWidth="1"/>
    <col min="19" max="19" width="7.7265625" style="21" bestFit="1" customWidth="1"/>
    <col min="20" max="20" width="2" style="21" bestFit="1" customWidth="1"/>
    <col min="21" max="21" width="9.26953125" style="21" bestFit="1" customWidth="1"/>
    <col min="22" max="22" width="11.26953125" style="21" customWidth="1"/>
    <col min="23" max="23" width="2" style="21" bestFit="1" customWidth="1"/>
    <col min="24" max="24" width="4" style="21" customWidth="1"/>
    <col min="25" max="25" width="11.26953125" style="21" bestFit="1" customWidth="1"/>
  </cols>
  <sheetData>
    <row r="2" spans="1:14" x14ac:dyDescent="0.35">
      <c r="A2" s="469"/>
      <c r="B2" s="469"/>
      <c r="C2" s="469"/>
      <c r="D2" s="270"/>
      <c r="E2" s="469"/>
      <c r="F2" s="469"/>
      <c r="G2" s="469"/>
      <c r="H2" s="469"/>
      <c r="I2" s="469"/>
      <c r="J2" s="469"/>
      <c r="K2" s="469"/>
      <c r="L2" s="469"/>
      <c r="M2" s="469"/>
      <c r="N2" s="469"/>
    </row>
    <row r="3" spans="1:14" ht="18" x14ac:dyDescent="0.4">
      <c r="A3" s="3"/>
      <c r="B3" s="3"/>
      <c r="C3" s="3"/>
      <c r="D3" s="3"/>
      <c r="E3" s="3"/>
      <c r="F3" s="274"/>
      <c r="G3" s="3"/>
      <c r="H3" s="3"/>
      <c r="I3" s="3"/>
      <c r="J3" s="469"/>
      <c r="K3" s="3"/>
      <c r="L3" s="469"/>
      <c r="M3" s="469"/>
      <c r="N3" s="3"/>
    </row>
    <row r="4" spans="1:14" x14ac:dyDescent="0.35">
      <c r="A4" s="23" t="s">
        <v>1</v>
      </c>
      <c r="B4" s="752" t="str">
        <f>'2019 CCP Summary'!B4</f>
        <v>REV 0 July 29, 2019</v>
      </c>
      <c r="C4" s="752"/>
      <c r="D4" s="753"/>
      <c r="E4" s="753"/>
      <c r="F4" s="754"/>
      <c r="G4" s="754"/>
      <c r="H4" s="754"/>
      <c r="I4" s="754"/>
      <c r="J4" s="469"/>
      <c r="K4" s="469"/>
      <c r="L4" s="469"/>
      <c r="M4" s="469"/>
      <c r="N4" s="469"/>
    </row>
    <row r="5" spans="1:14" x14ac:dyDescent="0.35">
      <c r="A5" s="275" t="s">
        <v>2</v>
      </c>
      <c r="B5" s="755">
        <v>18106417</v>
      </c>
      <c r="C5" s="755"/>
      <c r="D5" s="753"/>
      <c r="E5" s="753"/>
      <c r="F5" s="754"/>
      <c r="G5" s="754"/>
      <c r="H5" s="754"/>
      <c r="I5" s="754"/>
      <c r="J5" s="469"/>
      <c r="K5" s="462"/>
      <c r="L5" s="469"/>
      <c r="M5" s="469"/>
      <c r="N5" s="462"/>
    </row>
    <row r="6" spans="1:14" x14ac:dyDescent="0.35">
      <c r="A6" s="275" t="s">
        <v>3</v>
      </c>
      <c r="B6" s="756" t="s">
        <v>406</v>
      </c>
      <c r="C6" s="756"/>
      <c r="D6" s="753" t="s">
        <v>0</v>
      </c>
      <c r="E6" s="753"/>
      <c r="F6" s="754" t="s">
        <v>0</v>
      </c>
      <c r="G6" s="754"/>
      <c r="H6" s="754"/>
      <c r="I6" s="754"/>
      <c r="J6" s="469"/>
      <c r="K6" s="23"/>
      <c r="L6" s="469"/>
      <c r="M6" s="469"/>
      <c r="N6" s="23"/>
    </row>
    <row r="7" spans="1:14" x14ac:dyDescent="0.35">
      <c r="A7" s="276" t="s">
        <v>5</v>
      </c>
      <c r="B7" s="752" t="str">
        <f>'2019 CCP Summary'!B7</f>
        <v>Tyrone Mine Closure Closeout Plan</v>
      </c>
      <c r="C7" s="752"/>
      <c r="D7" s="412"/>
      <c r="E7" s="277"/>
      <c r="F7" s="278"/>
      <c r="G7" s="3"/>
      <c r="H7" s="3"/>
      <c r="I7" s="3"/>
      <c r="J7" s="469"/>
      <c r="K7" s="469"/>
      <c r="L7" s="469"/>
      <c r="M7" s="469"/>
      <c r="N7" s="469"/>
    </row>
    <row r="9" spans="1:14" ht="15.5" x14ac:dyDescent="0.35">
      <c r="A9" s="757" t="s">
        <v>407</v>
      </c>
      <c r="B9" s="757"/>
      <c r="C9" s="757"/>
      <c r="D9" s="757"/>
      <c r="E9" s="757"/>
      <c r="F9" s="757"/>
      <c r="G9" s="757"/>
      <c r="H9" s="757"/>
      <c r="I9" s="757"/>
      <c r="J9" s="757"/>
      <c r="K9" s="469"/>
      <c r="L9" s="469"/>
      <c r="M9" s="469"/>
      <c r="N9" s="469"/>
    </row>
    <row r="10" spans="1:14" ht="15.5" x14ac:dyDescent="0.35">
      <c r="A10" s="470" t="s">
        <v>408</v>
      </c>
      <c r="B10" s="471" t="s">
        <v>373</v>
      </c>
      <c r="C10" s="472">
        <v>6</v>
      </c>
      <c r="D10" s="469"/>
      <c r="E10" s="28"/>
      <c r="F10" s="28"/>
      <c r="G10" s="28"/>
      <c r="H10" s="28"/>
      <c r="I10" s="28"/>
      <c r="J10" s="28"/>
      <c r="K10" s="469"/>
      <c r="L10" s="469"/>
      <c r="M10" s="469"/>
      <c r="N10" s="469"/>
    </row>
    <row r="11" spans="1:14" ht="15.5" x14ac:dyDescent="0.35">
      <c r="A11" s="24" t="s">
        <v>409</v>
      </c>
      <c r="B11" s="25" t="s">
        <v>373</v>
      </c>
      <c r="C11" s="26">
        <v>1300</v>
      </c>
      <c r="D11" s="27" t="s">
        <v>230</v>
      </c>
      <c r="E11" s="28"/>
      <c r="F11" s="28"/>
      <c r="G11" s="28"/>
      <c r="H11" s="28"/>
      <c r="I11" s="28"/>
      <c r="J11" s="28"/>
      <c r="K11" s="469"/>
      <c r="L11" s="469"/>
      <c r="M11" s="469"/>
      <c r="N11" s="469"/>
    </row>
    <row r="12" spans="1:14" ht="15.5" x14ac:dyDescent="0.35">
      <c r="A12" s="29" t="s">
        <v>410</v>
      </c>
      <c r="B12" s="30" t="s">
        <v>373</v>
      </c>
      <c r="C12" s="31">
        <f>ROUNDUP('TTS Calculation Summary'!H111,-2)</f>
        <v>800</v>
      </c>
      <c r="D12" s="32" t="s">
        <v>230</v>
      </c>
      <c r="E12" s="28"/>
      <c r="F12" s="28"/>
      <c r="G12" s="28"/>
      <c r="H12" s="28"/>
      <c r="I12" s="28"/>
      <c r="J12" s="28"/>
      <c r="K12" s="469"/>
      <c r="L12" s="469"/>
      <c r="M12" s="469"/>
      <c r="N12" s="469"/>
    </row>
    <row r="13" spans="1:14" x14ac:dyDescent="0.35">
      <c r="A13" s="27" t="s">
        <v>411</v>
      </c>
      <c r="B13" s="25" t="s">
        <v>373</v>
      </c>
      <c r="C13" s="26">
        <v>1600</v>
      </c>
      <c r="D13" s="27" t="s">
        <v>230</v>
      </c>
      <c r="E13" s="469"/>
      <c r="F13" s="469"/>
      <c r="G13" s="469"/>
      <c r="H13" s="469"/>
      <c r="I13" s="469"/>
      <c r="J13" s="469"/>
      <c r="K13" s="469"/>
      <c r="L13" s="469"/>
      <c r="M13" s="469"/>
      <c r="N13" s="469"/>
    </row>
    <row r="14" spans="1:14" x14ac:dyDescent="0.35">
      <c r="A14" s="32" t="s">
        <v>412</v>
      </c>
      <c r="B14" s="30" t="s">
        <v>373</v>
      </c>
      <c r="C14" s="31">
        <f>ROUNDUP('TTS Calculation Summary'!D111,-1)</f>
        <v>1100</v>
      </c>
      <c r="D14" s="32" t="s">
        <v>230</v>
      </c>
      <c r="E14" s="469"/>
      <c r="F14" s="235"/>
      <c r="G14" s="469"/>
      <c r="H14" s="469"/>
      <c r="I14" s="469"/>
      <c r="J14" s="469"/>
      <c r="K14" s="469"/>
      <c r="L14" s="469"/>
      <c r="M14" s="469"/>
      <c r="N14" s="469"/>
    </row>
    <row r="15" spans="1:14" x14ac:dyDescent="0.35">
      <c r="A15" s="27" t="s">
        <v>413</v>
      </c>
      <c r="B15" s="25" t="s">
        <v>373</v>
      </c>
      <c r="C15" s="26">
        <f>'TTS Calculation Summary'!O112</f>
        <v>2788.1492617051895</v>
      </c>
      <c r="D15" s="27" t="s">
        <v>414</v>
      </c>
      <c r="E15" s="469"/>
      <c r="F15" s="469"/>
      <c r="G15" s="469"/>
      <c r="H15" s="469"/>
      <c r="I15" s="469"/>
      <c r="J15" s="469"/>
      <c r="K15" s="469"/>
      <c r="L15" s="469"/>
      <c r="M15" s="469"/>
      <c r="N15" s="469"/>
    </row>
    <row r="16" spans="1:14" x14ac:dyDescent="0.35">
      <c r="A16" s="32" t="s">
        <v>415</v>
      </c>
      <c r="B16" s="30" t="s">
        <v>373</v>
      </c>
      <c r="C16" s="31">
        <f>'TTS Calculation Summary'!O111</f>
        <v>2551.5312497263626</v>
      </c>
      <c r="D16" s="32" t="s">
        <v>414</v>
      </c>
      <c r="E16" s="469"/>
      <c r="F16" s="469"/>
      <c r="G16" s="469"/>
      <c r="H16" s="469"/>
      <c r="I16" s="469"/>
      <c r="J16" s="469"/>
      <c r="K16" s="469"/>
      <c r="L16" s="469"/>
      <c r="M16" s="469"/>
      <c r="N16" s="469"/>
    </row>
    <row r="17" spans="1:25" x14ac:dyDescent="0.35">
      <c r="A17" s="27" t="s">
        <v>416</v>
      </c>
      <c r="B17" s="25" t="s">
        <v>373</v>
      </c>
      <c r="C17" s="26">
        <f>'TTS Calculation Summary'!E111</f>
        <v>79.00244084419981</v>
      </c>
      <c r="D17" s="27" t="s">
        <v>230</v>
      </c>
      <c r="E17" s="469"/>
      <c r="F17" s="469"/>
      <c r="G17" s="469"/>
      <c r="H17" s="469"/>
      <c r="I17" s="469"/>
      <c r="J17" s="469"/>
      <c r="K17" s="469"/>
      <c r="L17" s="469"/>
      <c r="M17" s="469"/>
      <c r="N17" s="469"/>
      <c r="O17" s="469"/>
      <c r="P17" s="469"/>
      <c r="Q17" s="469"/>
      <c r="R17" s="469"/>
      <c r="S17" s="469"/>
      <c r="T17" s="469"/>
      <c r="U17" s="469"/>
      <c r="V17" s="469"/>
      <c r="W17" s="469"/>
      <c r="X17" s="469"/>
      <c r="Y17" s="469"/>
    </row>
    <row r="18" spans="1:25" x14ac:dyDescent="0.35">
      <c r="A18" s="27" t="s">
        <v>417</v>
      </c>
      <c r="B18" s="25" t="s">
        <v>373</v>
      </c>
      <c r="C18" s="26">
        <f>'TTS Calculation Summary'!V112</f>
        <v>179965.47452119298</v>
      </c>
      <c r="D18" s="27" t="s">
        <v>418</v>
      </c>
      <c r="E18" s="469"/>
      <c r="F18" s="469"/>
      <c r="G18" s="469"/>
      <c r="H18" s="469"/>
      <c r="I18" s="469"/>
      <c r="J18" s="469"/>
      <c r="K18" s="469"/>
      <c r="L18" s="469"/>
      <c r="M18" s="469"/>
      <c r="N18" s="469"/>
      <c r="O18" s="469"/>
      <c r="P18" s="469"/>
      <c r="Q18" s="469"/>
      <c r="R18" s="469"/>
      <c r="S18" s="469"/>
      <c r="T18" s="469"/>
      <c r="U18" s="469"/>
      <c r="V18" s="469"/>
      <c r="W18" s="469"/>
      <c r="X18" s="469"/>
      <c r="Y18" s="469"/>
    </row>
    <row r="19" spans="1:25" x14ac:dyDescent="0.35">
      <c r="A19" s="32" t="s">
        <v>419</v>
      </c>
      <c r="B19" s="30" t="s">
        <v>373</v>
      </c>
      <c r="C19" s="31">
        <f>'TTS Calculation Summary'!V111</f>
        <v>140643.28302178744</v>
      </c>
      <c r="D19" s="32" t="s">
        <v>418</v>
      </c>
      <c r="E19" s="469"/>
      <c r="F19" s="469"/>
      <c r="G19" s="469"/>
      <c r="H19" s="469"/>
      <c r="I19" s="469"/>
      <c r="J19" s="469"/>
      <c r="K19" s="469"/>
      <c r="L19" s="469"/>
      <c r="M19" s="469"/>
      <c r="N19" s="469"/>
      <c r="O19" s="469"/>
      <c r="P19" s="469"/>
      <c r="Q19" s="469"/>
      <c r="R19" s="469"/>
      <c r="S19" s="469"/>
      <c r="T19" s="469"/>
      <c r="U19" s="469"/>
      <c r="V19" s="469"/>
      <c r="W19" s="469"/>
      <c r="X19" s="469"/>
      <c r="Y19" s="469"/>
    </row>
    <row r="20" spans="1:25" x14ac:dyDescent="0.35">
      <c r="A20" s="27" t="s">
        <v>420</v>
      </c>
      <c r="B20" s="25" t="s">
        <v>373</v>
      </c>
      <c r="C20" s="26">
        <f>ROUNDUP('TTS Calculation Summary'!L112,-2)</f>
        <v>1100</v>
      </c>
      <c r="D20" s="27" t="s">
        <v>230</v>
      </c>
      <c r="E20" s="469"/>
      <c r="F20" s="469"/>
      <c r="G20" s="469"/>
      <c r="H20" s="469"/>
      <c r="I20" s="469"/>
      <c r="J20" s="469"/>
      <c r="K20" s="469"/>
      <c r="L20" s="469"/>
      <c r="M20" s="469"/>
      <c r="N20" s="469"/>
      <c r="O20" s="469"/>
      <c r="P20" s="469"/>
      <c r="Q20" s="469"/>
      <c r="R20" s="469"/>
      <c r="S20" s="469"/>
      <c r="T20" s="469"/>
      <c r="U20" s="469"/>
      <c r="V20" s="469"/>
      <c r="W20" s="469"/>
      <c r="X20" s="469"/>
      <c r="Y20" s="469"/>
    </row>
    <row r="21" spans="1:25" x14ac:dyDescent="0.35">
      <c r="A21" s="32" t="s">
        <v>421</v>
      </c>
      <c r="B21" s="30" t="s">
        <v>373</v>
      </c>
      <c r="C21" s="31">
        <f>ROUNDUP('TTS Calculation Summary'!L111,-2)</f>
        <v>1000</v>
      </c>
      <c r="D21" s="32" t="s">
        <v>230</v>
      </c>
      <c r="E21" s="469"/>
      <c r="F21" s="469"/>
      <c r="G21" s="469"/>
      <c r="H21" s="469"/>
      <c r="I21" s="469"/>
      <c r="J21" s="469"/>
      <c r="K21" s="469"/>
      <c r="L21" s="469"/>
      <c r="M21" s="469"/>
      <c r="N21" s="469"/>
      <c r="O21" s="469"/>
      <c r="P21" s="469"/>
      <c r="Q21" s="469" t="s">
        <v>0</v>
      </c>
      <c r="R21" s="469"/>
      <c r="S21" s="469"/>
      <c r="T21" s="469"/>
      <c r="U21" s="469"/>
      <c r="V21" s="469"/>
      <c r="W21" s="469"/>
      <c r="X21" s="469"/>
      <c r="Y21" s="469"/>
    </row>
    <row r="22" spans="1:25" x14ac:dyDescent="0.35">
      <c r="A22" s="32"/>
      <c r="B22" s="30"/>
      <c r="C22" s="31"/>
      <c r="D22" s="32"/>
      <c r="E22" s="469"/>
      <c r="F22" s="469"/>
      <c r="G22" s="469"/>
      <c r="H22" s="469"/>
      <c r="I22" s="469"/>
      <c r="J22" s="469"/>
      <c r="K22" s="469"/>
      <c r="L22" s="469"/>
      <c r="M22" s="469"/>
      <c r="N22" s="469"/>
      <c r="O22" s="469"/>
      <c r="P22" s="469"/>
      <c r="Q22" s="469"/>
      <c r="R22" s="469"/>
      <c r="S22" s="469"/>
      <c r="T22" s="469"/>
      <c r="U22" s="469"/>
      <c r="V22" s="469"/>
      <c r="W22" s="469"/>
      <c r="X22" s="469"/>
      <c r="Y22" s="469"/>
    </row>
    <row r="23" spans="1:25" x14ac:dyDescent="0.35">
      <c r="A23" s="32" t="s">
        <v>422</v>
      </c>
      <c r="B23" s="30"/>
      <c r="C23" s="31"/>
      <c r="D23" s="32"/>
      <c r="E23" s="469"/>
      <c r="F23" s="469"/>
      <c r="G23" s="469"/>
      <c r="H23" s="469"/>
      <c r="I23" s="469"/>
      <c r="J23" s="469"/>
      <c r="K23" s="469"/>
      <c r="L23" s="469"/>
      <c r="M23" s="469"/>
      <c r="N23" s="469"/>
      <c r="O23" s="469"/>
      <c r="P23" s="469"/>
      <c r="Q23" s="469"/>
      <c r="R23" s="469"/>
      <c r="S23" s="469"/>
      <c r="T23" s="469"/>
      <c r="U23" s="469"/>
      <c r="V23" s="469"/>
      <c r="W23" s="469"/>
      <c r="X23" s="469"/>
      <c r="Y23" s="469"/>
    </row>
    <row r="24" spans="1:25" x14ac:dyDescent="0.35">
      <c r="A24" s="32"/>
      <c r="B24" s="30"/>
      <c r="C24" s="31"/>
      <c r="D24" s="32"/>
      <c r="E24" s="469"/>
      <c r="F24" s="469"/>
      <c r="G24" s="469"/>
      <c r="H24" s="469"/>
      <c r="I24" s="469"/>
      <c r="J24" s="469"/>
      <c r="K24" s="469"/>
      <c r="L24" s="469"/>
      <c r="M24" s="469"/>
      <c r="N24" s="469"/>
      <c r="O24" s="469"/>
      <c r="P24" s="469"/>
      <c r="Q24" s="469"/>
      <c r="R24" s="469"/>
      <c r="S24" s="469"/>
      <c r="T24" s="469"/>
      <c r="U24" s="469"/>
      <c r="V24" s="469"/>
      <c r="W24" s="469"/>
      <c r="X24" s="469"/>
      <c r="Y24" s="469"/>
    </row>
    <row r="25" spans="1:25" ht="15.5" x14ac:dyDescent="0.35">
      <c r="A25" s="757" t="s">
        <v>423</v>
      </c>
      <c r="B25" s="757"/>
      <c r="C25" s="757"/>
      <c r="D25" s="757"/>
      <c r="E25" s="757"/>
      <c r="F25" s="757"/>
      <c r="G25" s="757"/>
      <c r="H25" s="757"/>
      <c r="I25" s="757"/>
      <c r="J25" s="757"/>
      <c r="K25" s="28"/>
      <c r="L25" s="470"/>
      <c r="M25" s="470"/>
      <c r="N25" s="28"/>
      <c r="O25" s="470"/>
      <c r="P25" s="470"/>
      <c r="Q25" s="470"/>
      <c r="R25" s="470"/>
      <c r="S25" s="470"/>
      <c r="T25" s="470"/>
      <c r="U25" s="470"/>
      <c r="V25" s="470"/>
      <c r="W25" s="470"/>
      <c r="X25" s="470"/>
      <c r="Y25" s="470"/>
    </row>
    <row r="26" spans="1:25" s="91" customFormat="1" ht="12.5" x14ac:dyDescent="0.25">
      <c r="A26" s="452" t="s">
        <v>424</v>
      </c>
      <c r="B26" s="122" t="s">
        <v>373</v>
      </c>
      <c r="C26" s="263">
        <f>5270/10040</f>
        <v>0.52490039840637448</v>
      </c>
      <c r="D26" s="261" t="s">
        <v>425</v>
      </c>
      <c r="E26" s="85" t="s">
        <v>426</v>
      </c>
      <c r="F26" s="452"/>
      <c r="G26" s="452"/>
      <c r="H26" s="452"/>
      <c r="I26" s="452"/>
      <c r="J26" s="452"/>
      <c r="K26" s="452"/>
      <c r="L26" s="452"/>
      <c r="M26" s="452"/>
      <c r="N26" s="452"/>
      <c r="O26" s="452"/>
      <c r="P26" s="452"/>
      <c r="Q26" s="452"/>
      <c r="R26" s="452"/>
      <c r="S26" s="452"/>
      <c r="T26" s="452"/>
      <c r="U26" s="452"/>
      <c r="V26" s="452"/>
      <c r="W26" s="452"/>
      <c r="X26" s="452"/>
      <c r="Y26" s="452"/>
    </row>
    <row r="27" spans="1:25" s="91" customFormat="1" ht="12.5" x14ac:dyDescent="0.25">
      <c r="A27" s="452" t="s">
        <v>427</v>
      </c>
      <c r="B27" s="122" t="s">
        <v>373</v>
      </c>
      <c r="C27" s="261">
        <v>2.8E-5</v>
      </c>
      <c r="D27" s="261" t="s">
        <v>428</v>
      </c>
      <c r="E27" s="85" t="s">
        <v>429</v>
      </c>
      <c r="F27" s="452"/>
      <c r="G27" s="85"/>
      <c r="H27" s="452"/>
      <c r="I27" s="452"/>
      <c r="J27" s="452"/>
      <c r="K27" s="452"/>
      <c r="L27" s="452"/>
      <c r="M27" s="452"/>
      <c r="N27" s="452"/>
      <c r="O27" s="452"/>
      <c r="P27" s="452"/>
      <c r="Q27" s="452"/>
      <c r="R27" s="452"/>
      <c r="S27" s="452"/>
      <c r="T27" s="452"/>
      <c r="U27" s="452"/>
      <c r="V27" s="452"/>
      <c r="W27" s="452"/>
      <c r="X27" s="452"/>
      <c r="Y27" s="452"/>
    </row>
    <row r="28" spans="1:25" s="91" customFormat="1" ht="12.5" x14ac:dyDescent="0.25">
      <c r="A28" s="452" t="s">
        <v>430</v>
      </c>
      <c r="B28" s="122" t="s">
        <v>373</v>
      </c>
      <c r="C28" s="263">
        <f>21000/10040</f>
        <v>2.0916334661354581</v>
      </c>
      <c r="D28" s="123" t="s">
        <v>431</v>
      </c>
      <c r="E28" s="85" t="s">
        <v>432</v>
      </c>
      <c r="F28" s="452"/>
      <c r="G28" s="85"/>
      <c r="H28" s="452"/>
      <c r="I28" s="452"/>
      <c r="J28" s="452"/>
      <c r="K28" s="452"/>
      <c r="L28" s="452"/>
      <c r="M28" s="452"/>
      <c r="N28" s="452"/>
      <c r="O28" s="452"/>
      <c r="P28" s="452"/>
      <c r="Q28" s="452"/>
      <c r="R28" s="452"/>
      <c r="S28" s="452"/>
      <c r="T28" s="452"/>
      <c r="U28" s="452"/>
      <c r="V28" s="452"/>
      <c r="W28" s="452"/>
      <c r="X28" s="452"/>
      <c r="Y28" s="452"/>
    </row>
    <row r="29" spans="1:25" s="91" customFormat="1" ht="13" x14ac:dyDescent="0.3">
      <c r="A29" s="300" t="s">
        <v>433</v>
      </c>
      <c r="B29" s="122"/>
      <c r="C29" s="263"/>
      <c r="D29" s="123"/>
      <c r="E29" s="85"/>
      <c r="F29" s="452"/>
      <c r="G29" s="85"/>
      <c r="H29" s="452"/>
      <c r="I29" s="452"/>
      <c r="J29" s="452"/>
      <c r="K29" s="452"/>
      <c r="L29" s="452"/>
      <c r="M29" s="452"/>
      <c r="N29" s="452"/>
      <c r="O29" s="452"/>
      <c r="P29" s="452"/>
      <c r="Q29" s="452"/>
      <c r="R29" s="452"/>
      <c r="S29" s="452"/>
      <c r="T29" s="452"/>
      <c r="U29" s="452"/>
      <c r="V29" s="452"/>
      <c r="W29" s="452"/>
      <c r="X29" s="452"/>
      <c r="Y29" s="452"/>
    </row>
    <row r="30" spans="1:25" s="91" customFormat="1" ht="12.5" x14ac:dyDescent="0.25">
      <c r="A30" s="452"/>
      <c r="B30" s="122"/>
      <c r="C30" s="263"/>
      <c r="D30" s="123"/>
      <c r="E30" s="262"/>
      <c r="F30" s="85"/>
      <c r="G30" s="85"/>
      <c r="H30" s="452"/>
      <c r="I30" s="452"/>
      <c r="J30" s="452"/>
      <c r="K30" s="452"/>
      <c r="L30" s="452"/>
      <c r="M30" s="452"/>
      <c r="N30" s="452"/>
      <c r="O30" s="452"/>
      <c r="P30" s="452"/>
      <c r="Q30" s="452"/>
      <c r="R30" s="452"/>
      <c r="S30" s="452"/>
      <c r="T30" s="452"/>
      <c r="U30" s="452"/>
      <c r="V30" s="452"/>
      <c r="W30" s="452"/>
      <c r="X30" s="452"/>
      <c r="Y30" s="452"/>
    </row>
    <row r="31" spans="1:25" ht="15.5" x14ac:dyDescent="0.35">
      <c r="A31" s="759" t="s">
        <v>434</v>
      </c>
      <c r="B31" s="759"/>
      <c r="C31" s="759"/>
      <c r="D31" s="759"/>
      <c r="E31" s="759"/>
      <c r="F31" s="759"/>
      <c r="G31" s="759"/>
      <c r="H31" s="759"/>
      <c r="I31" s="759"/>
      <c r="J31" s="759"/>
      <c r="K31" s="33"/>
      <c r="L31" s="473"/>
      <c r="M31" s="473"/>
      <c r="N31" s="33"/>
      <c r="O31" s="473"/>
      <c r="P31" s="473"/>
      <c r="Q31" s="473"/>
      <c r="R31" s="473"/>
      <c r="S31" s="473"/>
      <c r="T31" s="473"/>
      <c r="U31" s="473"/>
      <c r="V31" s="473"/>
      <c r="W31" s="473"/>
      <c r="X31" s="473"/>
      <c r="Y31" s="473"/>
    </row>
    <row r="32" spans="1:25" x14ac:dyDescent="0.35">
      <c r="A32" s="760" t="s">
        <v>435</v>
      </c>
      <c r="B32" s="760"/>
      <c r="C32" s="760"/>
      <c r="D32" s="760"/>
      <c r="E32" s="760"/>
      <c r="F32" s="760"/>
      <c r="G32" s="760"/>
      <c r="H32" s="760"/>
      <c r="I32" s="760"/>
      <c r="J32" s="760"/>
      <c r="K32" s="34"/>
      <c r="L32" s="473"/>
      <c r="M32" s="473"/>
      <c r="N32" s="34"/>
      <c r="O32" s="473"/>
      <c r="P32" s="473"/>
      <c r="Q32" s="473"/>
      <c r="R32" s="473"/>
      <c r="S32" s="473"/>
      <c r="T32" s="473"/>
      <c r="U32" s="473"/>
      <c r="V32" s="473"/>
      <c r="W32" s="473"/>
      <c r="X32" s="473"/>
      <c r="Y32" s="473"/>
    </row>
    <row r="33" spans="1:25" x14ac:dyDescent="0.35">
      <c r="A33" s="35" t="s">
        <v>436</v>
      </c>
      <c r="B33" s="36" t="s">
        <v>373</v>
      </c>
      <c r="C33" s="46">
        <f>C13</f>
        <v>1600</v>
      </c>
      <c r="D33" s="38" t="s">
        <v>243</v>
      </c>
      <c r="E33" s="35" t="s">
        <v>437</v>
      </c>
      <c r="F33" s="37">
        <v>24</v>
      </c>
      <c r="G33" s="38" t="s">
        <v>438</v>
      </c>
      <c r="H33" s="35"/>
      <c r="I33" s="35"/>
      <c r="J33" s="35"/>
      <c r="K33" s="473"/>
      <c r="L33" s="473"/>
      <c r="M33" s="473"/>
      <c r="N33" s="473"/>
      <c r="O33" s="473"/>
      <c r="P33" s="473"/>
      <c r="Q33" s="473"/>
      <c r="R33" s="473"/>
      <c r="S33" s="473"/>
      <c r="T33" s="473"/>
      <c r="U33" s="473"/>
      <c r="V33" s="473"/>
      <c r="W33" s="473"/>
      <c r="X33" s="473"/>
      <c r="Y33" s="473"/>
    </row>
    <row r="34" spans="1:25" x14ac:dyDescent="0.35">
      <c r="A34" s="35" t="s">
        <v>439</v>
      </c>
      <c r="B34" s="35"/>
      <c r="C34" s="35">
        <v>1</v>
      </c>
      <c r="D34" s="35" t="s">
        <v>438</v>
      </c>
      <c r="E34" s="35"/>
      <c r="F34" s="35"/>
      <c r="G34" s="35"/>
      <c r="H34" s="35"/>
      <c r="I34" s="35"/>
      <c r="J34" s="35"/>
      <c r="K34" s="473"/>
      <c r="L34" s="473"/>
      <c r="M34" s="473"/>
      <c r="N34" s="473"/>
      <c r="O34" s="473"/>
      <c r="P34" s="473"/>
      <c r="Q34" s="473"/>
      <c r="R34" s="473"/>
      <c r="S34" s="473"/>
      <c r="T34" s="473"/>
      <c r="U34" s="473"/>
      <c r="V34" s="473"/>
      <c r="W34" s="473"/>
      <c r="X34" s="473"/>
      <c r="Y34" s="473"/>
    </row>
    <row r="35" spans="1:25" x14ac:dyDescent="0.35">
      <c r="A35" s="40" t="s">
        <v>440</v>
      </c>
      <c r="B35" s="474" t="s">
        <v>373</v>
      </c>
      <c r="C35" s="41">
        <f>C33*F33</f>
        <v>38400</v>
      </c>
      <c r="D35" s="42" t="s">
        <v>243</v>
      </c>
      <c r="E35" s="40"/>
      <c r="F35" s="40"/>
      <c r="G35" s="40"/>
      <c r="H35" s="40"/>
      <c r="I35" s="40"/>
      <c r="J35" s="40"/>
      <c r="K35" s="473"/>
      <c r="L35" s="473"/>
      <c r="M35" s="473"/>
      <c r="N35" s="473"/>
      <c r="O35" s="473"/>
      <c r="P35" s="473"/>
      <c r="Q35" s="473"/>
      <c r="R35" s="473"/>
      <c r="S35" s="473"/>
      <c r="T35" s="473"/>
      <c r="U35" s="473"/>
      <c r="V35" s="473"/>
      <c r="W35" s="473"/>
      <c r="X35" s="473"/>
      <c r="Y35" s="473"/>
    </row>
    <row r="36" spans="1:25" x14ac:dyDescent="0.35">
      <c r="A36" s="40" t="s">
        <v>441</v>
      </c>
      <c r="B36" s="474"/>
      <c r="C36" s="41"/>
      <c r="D36" s="42"/>
      <c r="E36" s="40"/>
      <c r="F36" s="40"/>
      <c r="G36" s="40"/>
      <c r="H36" s="40"/>
      <c r="I36" s="40"/>
      <c r="J36" s="40"/>
      <c r="K36" s="473"/>
      <c r="L36" s="473"/>
      <c r="M36" s="473"/>
      <c r="N36" s="473"/>
      <c r="O36" s="473"/>
      <c r="P36" s="473"/>
      <c r="Q36" s="473"/>
      <c r="R36" s="473"/>
      <c r="S36" s="473"/>
      <c r="T36" s="473"/>
      <c r="U36" s="473"/>
      <c r="V36" s="473"/>
      <c r="W36" s="473"/>
      <c r="X36" s="473"/>
      <c r="Y36" s="473"/>
    </row>
    <row r="37" spans="1:25" x14ac:dyDescent="0.35">
      <c r="A37" s="40"/>
      <c r="B37" s="36" t="s">
        <v>373</v>
      </c>
      <c r="C37" s="37">
        <f>C35</f>
        <v>38400</v>
      </c>
      <c r="D37" s="38" t="s">
        <v>243</v>
      </c>
      <c r="E37" s="35" t="s">
        <v>437</v>
      </c>
      <c r="F37" s="38">
        <v>1.1000000000000001</v>
      </c>
      <c r="G37" s="38" t="s">
        <v>442</v>
      </c>
      <c r="H37" s="40" t="s">
        <v>0</v>
      </c>
      <c r="I37" s="40"/>
      <c r="J37" s="40"/>
      <c r="K37" s="473"/>
      <c r="L37" s="473"/>
      <c r="M37" s="473"/>
      <c r="N37" s="473"/>
      <c r="O37" s="473"/>
      <c r="P37" s="473"/>
      <c r="Q37" s="473"/>
      <c r="R37" s="473"/>
      <c r="S37" s="473"/>
      <c r="T37" s="473"/>
      <c r="U37" s="473"/>
      <c r="V37" s="473"/>
      <c r="W37" s="473"/>
      <c r="X37" s="473"/>
      <c r="Y37" s="473"/>
    </row>
    <row r="38" spans="1:25" x14ac:dyDescent="0.35">
      <c r="A38" s="40"/>
      <c r="B38" s="35"/>
      <c r="C38" s="35">
        <v>1</v>
      </c>
      <c r="D38" s="35" t="s">
        <v>438</v>
      </c>
      <c r="E38" s="35"/>
      <c r="F38" s="35"/>
      <c r="G38" s="35"/>
      <c r="H38" s="40"/>
      <c r="I38" s="40"/>
      <c r="J38" s="40"/>
      <c r="K38" s="473"/>
      <c r="L38" s="473"/>
      <c r="M38" s="473"/>
      <c r="N38" s="473"/>
      <c r="O38" s="473"/>
      <c r="P38" s="473"/>
      <c r="Q38" s="473"/>
      <c r="R38" s="473"/>
      <c r="S38" s="473"/>
      <c r="T38" s="473"/>
      <c r="U38" s="473"/>
      <c r="V38" s="473"/>
      <c r="W38" s="473"/>
      <c r="X38" s="473"/>
      <c r="Y38" s="473"/>
    </row>
    <row r="39" spans="1:25" x14ac:dyDescent="0.35">
      <c r="A39" s="40"/>
      <c r="B39" s="474" t="s">
        <v>373</v>
      </c>
      <c r="C39" s="41">
        <f>ROUNDUP(C37*F37,-3)</f>
        <v>43000</v>
      </c>
      <c r="D39" s="42" t="s">
        <v>243</v>
      </c>
      <c r="E39" s="40" t="s">
        <v>443</v>
      </c>
      <c r="F39" s="40"/>
      <c r="G39" s="40"/>
      <c r="H39" s="40"/>
      <c r="I39" s="40"/>
      <c r="J39" s="40"/>
      <c r="K39" s="473"/>
      <c r="L39" s="473"/>
      <c r="M39" s="473"/>
      <c r="N39" s="473"/>
      <c r="O39" s="473"/>
      <c r="P39" s="473"/>
      <c r="Q39" s="473"/>
      <c r="R39" s="473"/>
      <c r="S39" s="473"/>
      <c r="T39" s="473"/>
      <c r="U39" s="473"/>
      <c r="V39" s="473"/>
      <c r="W39" s="473"/>
      <c r="X39" s="473"/>
      <c r="Y39" s="473"/>
    </row>
    <row r="40" spans="1:25" x14ac:dyDescent="0.35">
      <c r="A40" s="40"/>
      <c r="B40" s="474"/>
      <c r="C40" s="41"/>
      <c r="D40" s="42"/>
      <c r="E40" s="40"/>
      <c r="F40" s="40"/>
      <c r="G40" s="40"/>
      <c r="H40" s="40"/>
      <c r="I40" s="40"/>
      <c r="J40" s="40"/>
      <c r="K40" s="473"/>
      <c r="L40" s="473"/>
      <c r="M40" s="473"/>
      <c r="N40" s="473"/>
      <c r="O40" s="473"/>
      <c r="P40" s="473"/>
      <c r="Q40" s="473"/>
      <c r="R40" s="473"/>
      <c r="S40" s="473"/>
      <c r="T40" s="473"/>
      <c r="U40" s="473"/>
      <c r="V40" s="473"/>
      <c r="W40" s="473"/>
      <c r="X40" s="473"/>
      <c r="Y40" s="473"/>
    </row>
    <row r="41" spans="1:25" ht="17" x14ac:dyDescent="0.35">
      <c r="A41" s="469"/>
      <c r="B41" s="471" t="s">
        <v>373</v>
      </c>
      <c r="C41" s="475">
        <f>C39</f>
        <v>43000</v>
      </c>
      <c r="D41" s="476" t="s">
        <v>243</v>
      </c>
      <c r="E41" s="469" t="s">
        <v>437</v>
      </c>
      <c r="F41" s="476">
        <v>1</v>
      </c>
      <c r="G41" s="476" t="s">
        <v>444</v>
      </c>
      <c r="H41" s="469"/>
      <c r="I41" s="469"/>
      <c r="J41" s="469"/>
      <c r="K41" s="469"/>
      <c r="L41" s="469"/>
      <c r="M41" s="469"/>
      <c r="N41" s="469"/>
      <c r="O41" s="469"/>
      <c r="P41" s="469"/>
      <c r="Q41" s="469"/>
      <c r="R41" s="469"/>
      <c r="S41" s="469"/>
      <c r="T41" s="469"/>
      <c r="U41" s="469"/>
      <c r="V41" s="469"/>
      <c r="W41" s="469"/>
      <c r="X41" s="469"/>
      <c r="Y41" s="469"/>
    </row>
    <row r="42" spans="1:25" x14ac:dyDescent="0.35">
      <c r="A42" s="469"/>
      <c r="B42" s="471"/>
      <c r="C42" s="26"/>
      <c r="D42" s="27"/>
      <c r="E42" s="469"/>
      <c r="F42" s="477">
        <v>7.4809999999999999</v>
      </c>
      <c r="G42" s="469" t="s">
        <v>243</v>
      </c>
      <c r="H42" s="469"/>
      <c r="I42" s="469"/>
      <c r="J42" s="469"/>
      <c r="K42" s="469"/>
      <c r="L42" s="469"/>
      <c r="M42" s="469"/>
      <c r="N42" s="469"/>
      <c r="O42" s="469"/>
      <c r="P42" s="469"/>
      <c r="Q42" s="469"/>
      <c r="R42" s="469"/>
      <c r="S42" s="469"/>
      <c r="T42" s="469"/>
      <c r="U42" s="469"/>
      <c r="V42" s="469"/>
      <c r="W42" s="469"/>
      <c r="X42" s="469"/>
      <c r="Y42" s="469"/>
    </row>
    <row r="43" spans="1:25" ht="16.5" x14ac:dyDescent="0.35">
      <c r="A43" s="469"/>
      <c r="B43" s="471" t="s">
        <v>373</v>
      </c>
      <c r="C43" s="26">
        <f>C41/F42</f>
        <v>5747.8946664884379</v>
      </c>
      <c r="D43" s="27" t="s">
        <v>445</v>
      </c>
      <c r="E43" s="469"/>
      <c r="F43" s="469"/>
      <c r="G43" s="469"/>
      <c r="H43" s="469"/>
      <c r="I43" s="469"/>
      <c r="J43" s="469"/>
      <c r="K43" s="469"/>
      <c r="L43" s="469"/>
      <c r="M43" s="469"/>
      <c r="N43" s="469"/>
      <c r="O43" s="469"/>
      <c r="P43" s="469"/>
      <c r="Q43" s="469"/>
      <c r="R43" s="469"/>
      <c r="S43" s="469"/>
      <c r="T43" s="469"/>
      <c r="U43" s="469"/>
      <c r="V43" s="469"/>
      <c r="W43" s="469"/>
      <c r="X43" s="469"/>
      <c r="Y43" s="469"/>
    </row>
    <row r="44" spans="1:25" x14ac:dyDescent="0.35">
      <c r="A44" s="469"/>
      <c r="B44" s="471"/>
      <c r="C44" s="307"/>
      <c r="D44" s="308"/>
      <c r="E44" s="469"/>
      <c r="F44" s="469"/>
      <c r="G44" s="469"/>
      <c r="H44" s="469"/>
      <c r="I44" s="469"/>
      <c r="J44" s="469"/>
      <c r="K44" s="469"/>
      <c r="L44" s="469"/>
      <c r="M44" s="469"/>
      <c r="N44" s="469"/>
      <c r="O44" s="469"/>
      <c r="P44" s="469"/>
      <c r="Q44" s="469"/>
      <c r="R44" s="469"/>
      <c r="S44" s="469"/>
      <c r="T44" s="469"/>
      <c r="U44" s="469"/>
      <c r="V44" s="469"/>
      <c r="W44" s="469"/>
      <c r="X44" s="469"/>
      <c r="Y44" s="469"/>
    </row>
    <row r="45" spans="1:25" x14ac:dyDescent="0.35">
      <c r="A45" s="469" t="s">
        <v>446</v>
      </c>
      <c r="B45" s="471" t="s">
        <v>373</v>
      </c>
      <c r="C45" s="309">
        <v>20</v>
      </c>
      <c r="D45" s="310" t="s">
        <v>185</v>
      </c>
      <c r="E45" s="469"/>
      <c r="F45" s="469"/>
      <c r="G45" s="469"/>
      <c r="H45" s="469"/>
      <c r="I45" s="469"/>
      <c r="J45" s="469"/>
      <c r="K45" s="469"/>
      <c r="L45" s="469"/>
      <c r="M45" s="469"/>
      <c r="N45" s="469"/>
      <c r="O45" s="469"/>
      <c r="P45" s="469"/>
      <c r="Q45" s="469"/>
      <c r="R45" s="469"/>
      <c r="S45" s="469"/>
      <c r="T45" s="469"/>
      <c r="U45" s="469"/>
      <c r="V45" s="469"/>
      <c r="W45" s="469"/>
      <c r="X45" s="469"/>
      <c r="Y45" s="469"/>
    </row>
    <row r="47" spans="1:25" ht="17" x14ac:dyDescent="0.35">
      <c r="A47" s="469" t="s">
        <v>447</v>
      </c>
      <c r="B47" s="43" t="s">
        <v>373</v>
      </c>
      <c r="C47" s="478">
        <f>C43</f>
        <v>5747.8946664884379</v>
      </c>
      <c r="D47" s="476" t="s">
        <v>444</v>
      </c>
      <c r="E47" s="469" t="s">
        <v>437</v>
      </c>
      <c r="F47" s="479">
        <v>4</v>
      </c>
      <c r="G47" s="44">
        <v>0.5</v>
      </c>
      <c r="H47" s="469"/>
      <c r="I47" s="469"/>
      <c r="J47" s="469"/>
      <c r="K47" s="469"/>
      <c r="L47" s="469"/>
      <c r="M47" s="469"/>
      <c r="N47" s="469"/>
      <c r="O47" s="469"/>
      <c r="P47" s="469"/>
      <c r="Q47" s="469"/>
      <c r="R47" s="469"/>
      <c r="S47" s="469"/>
      <c r="T47" s="469"/>
      <c r="U47" s="469"/>
      <c r="V47" s="469"/>
      <c r="W47" s="469"/>
      <c r="X47" s="469"/>
      <c r="Y47" s="469"/>
    </row>
    <row r="48" spans="1:25" x14ac:dyDescent="0.35">
      <c r="A48" s="469"/>
      <c r="B48" s="469"/>
      <c r="C48" s="480">
        <f>C45</f>
        <v>20</v>
      </c>
      <c r="D48" s="469" t="s">
        <v>185</v>
      </c>
      <c r="E48" s="469"/>
      <c r="F48" s="481" t="s">
        <v>448</v>
      </c>
      <c r="G48" s="469"/>
      <c r="H48" s="469"/>
      <c r="I48" s="469"/>
      <c r="J48" s="469"/>
      <c r="K48" s="469"/>
      <c r="L48" s="469"/>
      <c r="M48" s="469"/>
      <c r="N48" s="469"/>
      <c r="O48" s="469"/>
      <c r="P48" s="469"/>
      <c r="Q48" s="469"/>
      <c r="R48" s="469"/>
      <c r="S48" s="469"/>
      <c r="T48" s="469"/>
      <c r="U48" s="469"/>
      <c r="V48" s="469"/>
      <c r="W48" s="469"/>
      <c r="X48" s="469"/>
      <c r="Y48" s="469"/>
    </row>
    <row r="49" spans="1:25" x14ac:dyDescent="0.35">
      <c r="A49" s="469"/>
      <c r="B49" s="43" t="s">
        <v>373</v>
      </c>
      <c r="C49" s="45">
        <f>ROUNDUP(SQRT(C47/C48*F47/PI()),-0.5)</f>
        <v>20</v>
      </c>
      <c r="D49" s="27" t="s">
        <v>185</v>
      </c>
      <c r="E49" s="469"/>
      <c r="F49" s="469"/>
      <c r="G49" s="469"/>
      <c r="H49" s="469"/>
      <c r="I49" s="469"/>
      <c r="J49" s="469"/>
      <c r="K49" s="469"/>
      <c r="L49" s="469"/>
      <c r="M49" s="469"/>
      <c r="N49" s="469"/>
      <c r="O49" s="469"/>
      <c r="P49" s="469"/>
      <c r="Q49" s="469"/>
      <c r="R49" s="469"/>
      <c r="S49" s="469"/>
      <c r="T49" s="469"/>
      <c r="U49" s="469"/>
      <c r="V49" s="469"/>
      <c r="W49" s="469"/>
      <c r="X49" s="469"/>
      <c r="Y49" s="469"/>
    </row>
    <row r="50" spans="1:25" x14ac:dyDescent="0.35">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row>
    <row r="51" spans="1:25" ht="17" x14ac:dyDescent="0.35">
      <c r="A51" s="469" t="s">
        <v>449</v>
      </c>
      <c r="B51" s="43" t="s">
        <v>373</v>
      </c>
      <c r="C51" s="38">
        <f>1.139 * 10^-3</f>
        <v>1.139E-3</v>
      </c>
      <c r="D51" s="38" t="s">
        <v>450</v>
      </c>
      <c r="E51" s="35" t="s">
        <v>437</v>
      </c>
      <c r="F51" s="46">
        <f>C43</f>
        <v>5747.8946664884379</v>
      </c>
      <c r="G51" s="38" t="s">
        <v>451</v>
      </c>
      <c r="H51" s="35" t="s">
        <v>437</v>
      </c>
      <c r="I51" s="46">
        <v>1</v>
      </c>
      <c r="J51" s="38" t="s">
        <v>452</v>
      </c>
      <c r="K51" s="35" t="s">
        <v>437</v>
      </c>
      <c r="L51" s="47"/>
      <c r="M51" s="38" t="s">
        <v>453</v>
      </c>
      <c r="N51" s="35" t="s">
        <v>437</v>
      </c>
      <c r="O51" s="37">
        <v>300</v>
      </c>
      <c r="P51" s="38"/>
      <c r="Q51" s="48">
        <v>2</v>
      </c>
      <c r="R51" s="469"/>
      <c r="S51" s="469"/>
      <c r="T51" s="469"/>
      <c r="U51" s="469"/>
      <c r="V51" s="469"/>
      <c r="W51" s="469"/>
      <c r="X51" s="469"/>
      <c r="Y51" s="469"/>
    </row>
    <row r="52" spans="1:25" ht="17" x14ac:dyDescent="0.35">
      <c r="A52" s="469"/>
      <c r="B52" s="469"/>
      <c r="C52" s="35"/>
      <c r="D52" s="35" t="s">
        <v>454</v>
      </c>
      <c r="E52" s="35"/>
      <c r="F52" s="35"/>
      <c r="G52" s="35"/>
      <c r="H52" s="35"/>
      <c r="I52" s="49">
        <v>35.299999999999997</v>
      </c>
      <c r="J52" s="35" t="s">
        <v>451</v>
      </c>
      <c r="K52" s="35"/>
      <c r="L52" s="49">
        <v>1000</v>
      </c>
      <c r="M52" s="35" t="s">
        <v>455</v>
      </c>
      <c r="N52" s="469"/>
      <c r="O52" s="35">
        <v>1</v>
      </c>
      <c r="P52" s="35" t="s">
        <v>456</v>
      </c>
      <c r="Q52" s="35"/>
      <c r="R52" s="469"/>
      <c r="S52" s="469"/>
      <c r="T52" s="469"/>
      <c r="U52" s="469"/>
      <c r="V52" s="469"/>
      <c r="W52" s="469"/>
      <c r="X52" s="469"/>
      <c r="Y52" s="469"/>
    </row>
    <row r="53" spans="1:25" x14ac:dyDescent="0.35">
      <c r="A53" s="469"/>
      <c r="B53" s="43" t="s">
        <v>373</v>
      </c>
      <c r="C53" s="45">
        <f>ROUNDUP((O51^Q51)*F51*C51/I52/L52,-0.5)</f>
        <v>17</v>
      </c>
      <c r="D53" s="27" t="s">
        <v>455</v>
      </c>
      <c r="E53" s="469"/>
      <c r="F53" s="469"/>
      <c r="G53" s="469"/>
      <c r="H53" s="469"/>
      <c r="I53" s="469"/>
      <c r="J53" s="469"/>
      <c r="K53" s="469"/>
      <c r="L53" s="469"/>
      <c r="M53" s="469"/>
      <c r="N53" s="469"/>
      <c r="O53" s="469"/>
      <c r="P53" s="469"/>
      <c r="Q53" s="469"/>
      <c r="R53" s="469"/>
      <c r="S53" s="469"/>
      <c r="T53" s="469"/>
      <c r="U53" s="469"/>
      <c r="V53" s="469"/>
      <c r="W53" s="469"/>
      <c r="X53" s="469"/>
      <c r="Y53" s="469"/>
    </row>
    <row r="54" spans="1:25" x14ac:dyDescent="0.3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row>
    <row r="55" spans="1:25" x14ac:dyDescent="0.35">
      <c r="A55" s="760" t="s">
        <v>244</v>
      </c>
      <c r="B55" s="760"/>
      <c r="C55" s="760"/>
      <c r="D55" s="760"/>
      <c r="E55" s="760"/>
      <c r="F55" s="760"/>
      <c r="G55" s="760"/>
      <c r="H55" s="760"/>
      <c r="I55" s="760"/>
      <c r="J55" s="760"/>
      <c r="K55" s="34"/>
      <c r="L55" s="473"/>
      <c r="M55" s="473"/>
      <c r="N55" s="34"/>
      <c r="O55" s="473"/>
      <c r="P55" s="473"/>
      <c r="Q55" s="473"/>
      <c r="R55" s="473"/>
      <c r="S55" s="473"/>
      <c r="T55" s="473"/>
      <c r="U55" s="473"/>
      <c r="V55" s="473"/>
      <c r="W55" s="473"/>
      <c r="X55" s="473"/>
      <c r="Y55" s="473"/>
    </row>
    <row r="56" spans="1:25" x14ac:dyDescent="0.35">
      <c r="A56" s="35" t="s">
        <v>436</v>
      </c>
      <c r="B56" s="36" t="s">
        <v>373</v>
      </c>
      <c r="C56" s="46">
        <f>C33</f>
        <v>1600</v>
      </c>
      <c r="D56" s="38" t="s">
        <v>243</v>
      </c>
      <c r="E56" s="35" t="s">
        <v>437</v>
      </c>
      <c r="F56" s="38">
        <v>3.5</v>
      </c>
      <c r="G56" s="38" t="s">
        <v>438</v>
      </c>
      <c r="H56" s="35"/>
      <c r="I56" s="35"/>
      <c r="J56" s="35"/>
      <c r="K56" s="473"/>
      <c r="L56" s="473"/>
      <c r="M56" s="473"/>
      <c r="N56" s="473"/>
      <c r="O56" s="473"/>
      <c r="P56" s="473"/>
      <c r="Q56" s="473"/>
      <c r="R56" s="473"/>
      <c r="S56" s="473"/>
      <c r="T56" s="473"/>
      <c r="U56" s="473"/>
      <c r="V56" s="473"/>
      <c r="W56" s="473"/>
      <c r="X56" s="473"/>
      <c r="Y56" s="473"/>
    </row>
    <row r="57" spans="1:25" x14ac:dyDescent="0.35">
      <c r="A57" s="35"/>
      <c r="B57" s="35"/>
      <c r="C57" s="49">
        <v>1</v>
      </c>
      <c r="D57" s="35" t="s">
        <v>438</v>
      </c>
      <c r="E57" s="35"/>
      <c r="F57" s="35"/>
      <c r="G57" s="35"/>
      <c r="H57" s="35"/>
      <c r="I57" s="35"/>
      <c r="J57" s="35"/>
      <c r="K57" s="473"/>
      <c r="L57" s="473"/>
      <c r="M57" s="473"/>
      <c r="N57" s="473"/>
      <c r="O57" s="473"/>
      <c r="P57" s="473"/>
      <c r="Q57" s="473"/>
      <c r="R57" s="473"/>
      <c r="S57" s="473"/>
      <c r="T57" s="473"/>
      <c r="U57" s="473"/>
      <c r="V57" s="473"/>
      <c r="W57" s="473"/>
      <c r="X57" s="473"/>
      <c r="Y57" s="473"/>
    </row>
    <row r="58" spans="1:25" x14ac:dyDescent="0.35">
      <c r="A58" s="40"/>
      <c r="B58" s="474" t="s">
        <v>373</v>
      </c>
      <c r="C58" s="41">
        <f>C56*F56</f>
        <v>5600</v>
      </c>
      <c r="D58" s="42" t="s">
        <v>243</v>
      </c>
      <c r="E58" s="40"/>
      <c r="F58" s="40"/>
      <c r="G58" s="40"/>
      <c r="H58" s="40"/>
      <c r="I58" s="40"/>
      <c r="J58" s="40"/>
      <c r="K58" s="473"/>
      <c r="L58" s="473"/>
      <c r="M58" s="473"/>
      <c r="N58" s="473"/>
      <c r="O58" s="473"/>
      <c r="P58" s="473"/>
      <c r="Q58" s="473"/>
      <c r="R58" s="473"/>
      <c r="S58" s="473"/>
      <c r="T58" s="473"/>
      <c r="U58" s="473"/>
      <c r="V58" s="473"/>
      <c r="W58" s="473"/>
      <c r="X58" s="473"/>
      <c r="Y58" s="473"/>
    </row>
    <row r="59" spans="1:25" x14ac:dyDescent="0.35">
      <c r="A59" s="40"/>
      <c r="B59" s="474"/>
      <c r="C59" s="41"/>
      <c r="D59" s="42"/>
      <c r="E59" s="40"/>
      <c r="F59" s="40"/>
      <c r="G59" s="40"/>
      <c r="H59" s="40"/>
      <c r="I59" s="40"/>
      <c r="J59" s="40"/>
      <c r="K59" s="473"/>
      <c r="L59" s="473"/>
      <c r="M59" s="473"/>
      <c r="N59" s="473"/>
      <c r="O59" s="473"/>
      <c r="P59" s="473"/>
      <c r="Q59" s="473"/>
      <c r="R59" s="473"/>
      <c r="S59" s="473"/>
      <c r="T59" s="473"/>
      <c r="U59" s="473"/>
      <c r="V59" s="473"/>
      <c r="W59" s="473"/>
      <c r="X59" s="473"/>
      <c r="Y59" s="473"/>
    </row>
    <row r="60" spans="1:25" x14ac:dyDescent="0.35">
      <c r="A60" s="40"/>
      <c r="B60" s="36" t="s">
        <v>373</v>
      </c>
      <c r="C60" s="46">
        <f>C58</f>
        <v>5600</v>
      </c>
      <c r="D60" s="38" t="s">
        <v>243</v>
      </c>
      <c r="E60" s="35" t="s">
        <v>437</v>
      </c>
      <c r="F60" s="38">
        <v>1.1000000000000001</v>
      </c>
      <c r="G60" s="38" t="s">
        <v>442</v>
      </c>
      <c r="H60" s="40"/>
      <c r="I60" s="40"/>
      <c r="J60" s="40"/>
      <c r="K60" s="473"/>
      <c r="L60" s="473"/>
      <c r="M60" s="473"/>
      <c r="N60" s="473"/>
      <c r="O60" s="473"/>
      <c r="P60" s="473"/>
      <c r="Q60" s="473"/>
      <c r="R60" s="473"/>
      <c r="S60" s="473"/>
      <c r="T60" s="473"/>
      <c r="U60" s="473"/>
      <c r="V60" s="473"/>
      <c r="W60" s="473"/>
      <c r="X60" s="473"/>
      <c r="Y60" s="473"/>
    </row>
    <row r="61" spans="1:25" x14ac:dyDescent="0.35">
      <c r="A61" s="40"/>
      <c r="B61" s="35"/>
      <c r="C61" s="49">
        <v>1</v>
      </c>
      <c r="D61" s="35" t="s">
        <v>438</v>
      </c>
      <c r="E61" s="35"/>
      <c r="F61" s="35"/>
      <c r="G61" s="35"/>
      <c r="H61" s="40"/>
      <c r="I61" s="40"/>
      <c r="J61" s="40"/>
      <c r="K61" s="473"/>
      <c r="L61" s="473"/>
      <c r="M61" s="473"/>
      <c r="N61" s="473"/>
      <c r="O61" s="473"/>
      <c r="P61" s="473"/>
      <c r="Q61" s="473"/>
      <c r="R61" s="473"/>
      <c r="S61" s="473"/>
      <c r="T61" s="473"/>
      <c r="U61" s="473"/>
      <c r="V61" s="473"/>
      <c r="W61" s="473"/>
      <c r="X61" s="473"/>
      <c r="Y61" s="473"/>
    </row>
    <row r="62" spans="1:25" x14ac:dyDescent="0.35">
      <c r="A62" s="40"/>
      <c r="B62" s="474" t="s">
        <v>373</v>
      </c>
      <c r="C62" s="41">
        <f>ROUNDUP(C60*F60,-3)</f>
        <v>7000</v>
      </c>
      <c r="D62" s="42" t="s">
        <v>243</v>
      </c>
      <c r="E62" s="40"/>
      <c r="F62" s="40"/>
      <c r="G62" s="40"/>
      <c r="H62" s="40"/>
      <c r="I62" s="40"/>
      <c r="J62" s="40"/>
      <c r="K62" s="473"/>
      <c r="L62" s="473"/>
      <c r="M62" s="473"/>
      <c r="N62" s="473"/>
      <c r="O62" s="473"/>
      <c r="P62" s="473"/>
      <c r="Q62" s="473"/>
      <c r="R62" s="473"/>
      <c r="S62" s="473"/>
      <c r="T62" s="473"/>
      <c r="U62" s="473"/>
      <c r="V62" s="473"/>
      <c r="W62" s="473"/>
      <c r="X62" s="473"/>
      <c r="Y62" s="473"/>
    </row>
    <row r="63" spans="1:25" x14ac:dyDescent="0.35">
      <c r="A63" s="40"/>
      <c r="B63" s="474"/>
      <c r="C63" s="41"/>
      <c r="D63" s="42"/>
      <c r="E63" s="40"/>
      <c r="F63" s="40"/>
      <c r="G63" s="40"/>
      <c r="H63" s="40"/>
      <c r="I63" s="40"/>
      <c r="J63" s="40"/>
      <c r="K63" s="473"/>
      <c r="L63" s="473"/>
      <c r="M63" s="473"/>
      <c r="N63" s="473"/>
      <c r="O63" s="473"/>
      <c r="P63" s="473"/>
      <c r="Q63" s="473"/>
      <c r="R63" s="473"/>
      <c r="S63" s="473"/>
      <c r="T63" s="473"/>
      <c r="U63" s="473"/>
      <c r="V63" s="473"/>
      <c r="W63" s="473"/>
      <c r="X63" s="473"/>
      <c r="Y63" s="473"/>
    </row>
    <row r="64" spans="1:25" ht="17" x14ac:dyDescent="0.35">
      <c r="A64" s="469"/>
      <c r="B64" s="471" t="s">
        <v>373</v>
      </c>
      <c r="C64" s="475">
        <f>C62</f>
        <v>7000</v>
      </c>
      <c r="D64" s="476" t="s">
        <v>243</v>
      </c>
      <c r="E64" s="469" t="s">
        <v>437</v>
      </c>
      <c r="F64" s="476">
        <v>1</v>
      </c>
      <c r="G64" s="476" t="s">
        <v>444</v>
      </c>
      <c r="H64" s="469"/>
      <c r="I64" s="469"/>
      <c r="J64" s="469"/>
      <c r="K64" s="469"/>
      <c r="L64" s="469"/>
      <c r="M64" s="469"/>
      <c r="N64" s="469"/>
      <c r="O64" s="469"/>
      <c r="P64" s="469"/>
      <c r="Q64" s="469"/>
      <c r="R64" s="469"/>
      <c r="S64" s="469"/>
      <c r="T64" s="469"/>
      <c r="U64" s="469"/>
      <c r="V64" s="469"/>
      <c r="W64" s="469"/>
      <c r="X64" s="469"/>
      <c r="Y64" s="469"/>
    </row>
    <row r="65" spans="1:25" x14ac:dyDescent="0.35">
      <c r="A65" s="469"/>
      <c r="B65" s="471"/>
      <c r="C65" s="26"/>
      <c r="D65" s="27"/>
      <c r="E65" s="469"/>
      <c r="F65" s="477">
        <v>7.4809999999999999</v>
      </c>
      <c r="G65" s="469" t="s">
        <v>243</v>
      </c>
      <c r="H65" s="469"/>
      <c r="I65" s="469"/>
      <c r="J65" s="469"/>
      <c r="K65" s="469"/>
      <c r="L65" s="469"/>
      <c r="M65" s="469"/>
      <c r="N65" s="469"/>
      <c r="O65" s="469"/>
      <c r="P65" s="469"/>
      <c r="Q65" s="469"/>
      <c r="R65" s="469"/>
      <c r="S65" s="469"/>
      <c r="T65" s="469"/>
      <c r="U65" s="469"/>
      <c r="V65" s="469"/>
      <c r="W65" s="469"/>
      <c r="X65" s="469"/>
      <c r="Y65" s="469"/>
    </row>
    <row r="66" spans="1:25" ht="16.5" x14ac:dyDescent="0.35">
      <c r="A66" s="469"/>
      <c r="B66" s="471" t="s">
        <v>373</v>
      </c>
      <c r="C66" s="26">
        <f>C64/F65</f>
        <v>935.70378291672239</v>
      </c>
      <c r="D66" s="27" t="s">
        <v>445</v>
      </c>
      <c r="E66" s="469"/>
      <c r="F66" s="469"/>
      <c r="G66" s="469"/>
      <c r="H66" s="469"/>
      <c r="I66" s="469"/>
      <c r="J66" s="469"/>
      <c r="K66" s="469"/>
      <c r="L66" s="469"/>
      <c r="M66" s="469"/>
      <c r="N66" s="469"/>
      <c r="O66" s="469"/>
      <c r="P66" s="469"/>
      <c r="Q66" s="469"/>
      <c r="R66" s="469"/>
      <c r="S66" s="469"/>
      <c r="T66" s="469"/>
      <c r="U66" s="469"/>
      <c r="V66" s="469"/>
      <c r="W66" s="469"/>
      <c r="X66" s="469"/>
      <c r="Y66" s="469"/>
    </row>
    <row r="67" spans="1:25" x14ac:dyDescent="0.35">
      <c r="A67" s="469"/>
      <c r="B67" s="471"/>
      <c r="C67" s="26"/>
      <c r="D67" s="27"/>
      <c r="E67" s="469"/>
      <c r="F67" s="469"/>
      <c r="G67" s="469"/>
      <c r="H67" s="469"/>
      <c r="I67" s="469"/>
      <c r="J67" s="469"/>
      <c r="K67" s="469"/>
      <c r="L67" s="469"/>
      <c r="M67" s="469"/>
      <c r="N67" s="469"/>
      <c r="O67" s="469"/>
      <c r="P67" s="469"/>
      <c r="Q67" s="469"/>
      <c r="R67" s="469"/>
      <c r="S67" s="469"/>
      <c r="T67" s="469"/>
      <c r="U67" s="469"/>
      <c r="V67" s="469"/>
      <c r="W67" s="469"/>
      <c r="X67" s="469"/>
      <c r="Y67" s="469"/>
    </row>
    <row r="68" spans="1:25" x14ac:dyDescent="0.35">
      <c r="A68" s="469" t="s">
        <v>446</v>
      </c>
      <c r="B68" s="471" t="s">
        <v>373</v>
      </c>
      <c r="C68" s="309">
        <v>12</v>
      </c>
      <c r="D68" s="310" t="s">
        <v>185</v>
      </c>
      <c r="E68" s="310"/>
      <c r="F68" s="310"/>
      <c r="G68" s="469"/>
      <c r="H68" s="469"/>
      <c r="I68" s="469"/>
      <c r="J68" s="469"/>
      <c r="K68" s="469"/>
      <c r="L68" s="469"/>
      <c r="M68" s="469"/>
      <c r="N68" s="469"/>
      <c r="O68" s="469"/>
      <c r="P68" s="469"/>
      <c r="Q68" s="469"/>
      <c r="R68" s="469"/>
      <c r="S68" s="469"/>
      <c r="T68" s="469"/>
      <c r="U68" s="469"/>
      <c r="V68" s="469"/>
      <c r="W68" s="469"/>
      <c r="X68" s="469"/>
      <c r="Y68" s="469"/>
    </row>
    <row r="69" spans="1:25" x14ac:dyDescent="0.35">
      <c r="A69" s="469"/>
      <c r="B69" s="471"/>
      <c r="C69" s="307"/>
      <c r="D69" s="308"/>
      <c r="E69" s="310"/>
      <c r="F69" s="310"/>
      <c r="G69" s="469"/>
      <c r="H69" s="469"/>
      <c r="I69" s="469"/>
      <c r="J69" s="469"/>
      <c r="K69" s="469"/>
      <c r="L69" s="469"/>
      <c r="M69" s="469"/>
      <c r="N69" s="469"/>
      <c r="O69" s="469"/>
      <c r="P69" s="469"/>
      <c r="Q69" s="469"/>
      <c r="R69" s="469"/>
      <c r="S69" s="469"/>
      <c r="T69" s="469"/>
      <c r="U69" s="469"/>
      <c r="V69" s="469"/>
      <c r="W69" s="469"/>
      <c r="X69" s="469"/>
      <c r="Y69" s="469"/>
    </row>
    <row r="70" spans="1:25" ht="17" x14ac:dyDescent="0.35">
      <c r="A70" s="469" t="s">
        <v>447</v>
      </c>
      <c r="B70" s="43" t="s">
        <v>373</v>
      </c>
      <c r="C70" s="311">
        <f>C66</f>
        <v>935.70378291672239</v>
      </c>
      <c r="D70" s="312" t="s">
        <v>451</v>
      </c>
      <c r="E70" s="310" t="s">
        <v>437</v>
      </c>
      <c r="F70" s="313">
        <v>4</v>
      </c>
      <c r="G70" s="44">
        <v>0.5</v>
      </c>
      <c r="H70" s="469"/>
      <c r="I70" s="469"/>
      <c r="J70" s="469"/>
      <c r="K70" s="469"/>
      <c r="L70" s="469"/>
      <c r="M70" s="469"/>
      <c r="N70" s="469"/>
      <c r="O70" s="469"/>
      <c r="P70" s="469"/>
      <c r="Q70" s="469"/>
      <c r="R70" s="469"/>
      <c r="S70" s="469"/>
      <c r="T70" s="469"/>
      <c r="U70" s="469"/>
      <c r="V70" s="469"/>
      <c r="W70" s="469"/>
      <c r="X70" s="469"/>
      <c r="Y70" s="469"/>
    </row>
    <row r="71" spans="1:25" x14ac:dyDescent="0.35">
      <c r="A71" s="469"/>
      <c r="B71" s="469"/>
      <c r="C71" s="314">
        <f>C68</f>
        <v>12</v>
      </c>
      <c r="D71" s="310" t="s">
        <v>185</v>
      </c>
      <c r="E71" s="310"/>
      <c r="F71" s="315" t="s">
        <v>448</v>
      </c>
      <c r="G71" s="469"/>
      <c r="H71" s="469"/>
      <c r="I71" s="469"/>
      <c r="J71" s="469"/>
      <c r="K71" s="469"/>
      <c r="L71" s="469"/>
      <c r="M71" s="469"/>
      <c r="N71" s="469"/>
      <c r="O71" s="469"/>
      <c r="P71" s="469"/>
      <c r="Q71" s="469"/>
      <c r="R71" s="469"/>
      <c r="S71" s="469"/>
      <c r="T71" s="469"/>
      <c r="U71" s="469"/>
      <c r="V71" s="469"/>
      <c r="W71" s="469"/>
      <c r="X71" s="469"/>
      <c r="Y71" s="469"/>
    </row>
    <row r="72" spans="1:25" x14ac:dyDescent="0.35">
      <c r="A72" s="469"/>
      <c r="B72" s="43" t="s">
        <v>373</v>
      </c>
      <c r="C72" s="316">
        <f>ROUNDUP(SQRT(C70/C71*F70/PI()),-0.5)</f>
        <v>10</v>
      </c>
      <c r="D72" s="308" t="s">
        <v>185</v>
      </c>
      <c r="E72" s="310"/>
      <c r="F72" s="310"/>
      <c r="G72" s="469"/>
      <c r="H72" s="469"/>
      <c r="I72" s="469"/>
      <c r="J72" s="469"/>
      <c r="K72" s="469"/>
      <c r="L72" s="469"/>
      <c r="M72" s="469"/>
      <c r="N72" s="469"/>
      <c r="O72" s="469"/>
      <c r="P72" s="469"/>
      <c r="Q72" s="469"/>
      <c r="R72" s="469"/>
      <c r="S72" s="469"/>
      <c r="T72" s="469"/>
      <c r="U72" s="469"/>
      <c r="V72" s="469"/>
      <c r="W72" s="469"/>
      <c r="X72" s="469"/>
      <c r="Y72" s="469"/>
    </row>
    <row r="73" spans="1:25" x14ac:dyDescent="0.35">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row>
    <row r="74" spans="1:25" ht="17" x14ac:dyDescent="0.35">
      <c r="A74" s="469" t="s">
        <v>449</v>
      </c>
      <c r="B74" s="43" t="s">
        <v>373</v>
      </c>
      <c r="C74" s="38">
        <f>1.139 * 10^-3</f>
        <v>1.139E-3</v>
      </c>
      <c r="D74" s="38" t="s">
        <v>450</v>
      </c>
      <c r="E74" s="35" t="s">
        <v>437</v>
      </c>
      <c r="F74" s="46">
        <f>C66</f>
        <v>935.70378291672239</v>
      </c>
      <c r="G74" s="38" t="s">
        <v>451</v>
      </c>
      <c r="H74" s="35" t="s">
        <v>437</v>
      </c>
      <c r="I74" s="46">
        <v>1</v>
      </c>
      <c r="J74" s="38" t="s">
        <v>452</v>
      </c>
      <c r="K74" s="35" t="s">
        <v>437</v>
      </c>
      <c r="L74" s="47"/>
      <c r="M74" s="38" t="s">
        <v>453</v>
      </c>
      <c r="N74" s="35" t="s">
        <v>437</v>
      </c>
      <c r="O74" s="37">
        <v>300</v>
      </c>
      <c r="P74" s="38"/>
      <c r="Q74" s="48">
        <v>2</v>
      </c>
      <c r="R74" s="469"/>
      <c r="S74" s="469"/>
      <c r="T74" s="469"/>
      <c r="U74" s="469"/>
      <c r="V74" s="469"/>
      <c r="W74" s="469"/>
      <c r="X74" s="469"/>
      <c r="Y74" s="469"/>
    </row>
    <row r="75" spans="1:25" ht="17" x14ac:dyDescent="0.35">
      <c r="A75" s="469"/>
      <c r="B75" s="469"/>
      <c r="C75" s="35"/>
      <c r="D75" s="35" t="s">
        <v>454</v>
      </c>
      <c r="E75" s="35"/>
      <c r="F75" s="35"/>
      <c r="G75" s="35"/>
      <c r="H75" s="35"/>
      <c r="I75" s="49">
        <v>35.299999999999997</v>
      </c>
      <c r="J75" s="35" t="s">
        <v>451</v>
      </c>
      <c r="K75" s="35"/>
      <c r="L75" s="49">
        <v>1000</v>
      </c>
      <c r="M75" s="49" t="s">
        <v>455</v>
      </c>
      <c r="N75" s="469"/>
      <c r="O75" s="35">
        <v>1</v>
      </c>
      <c r="P75" s="35" t="s">
        <v>456</v>
      </c>
      <c r="Q75" s="35"/>
      <c r="R75" s="469"/>
      <c r="S75" s="469"/>
      <c r="T75" s="469"/>
      <c r="U75" s="469"/>
      <c r="V75" s="469"/>
      <c r="W75" s="469"/>
      <c r="X75" s="469"/>
      <c r="Y75" s="469"/>
    </row>
    <row r="76" spans="1:25" x14ac:dyDescent="0.35">
      <c r="A76" s="469"/>
      <c r="B76" s="43" t="s">
        <v>373</v>
      </c>
      <c r="C76" s="45">
        <f>ROUNDUP((O74^Q74)*F74*C74/I75/L75,-0.5)</f>
        <v>3</v>
      </c>
      <c r="D76" s="27" t="s">
        <v>455</v>
      </c>
      <c r="E76" s="469"/>
      <c r="F76" s="469"/>
      <c r="G76" s="469"/>
      <c r="H76" s="469"/>
      <c r="I76" s="469"/>
      <c r="J76" s="469"/>
      <c r="K76" s="469"/>
      <c r="L76" s="472"/>
      <c r="M76" s="472"/>
      <c r="N76" s="469"/>
      <c r="O76" s="469"/>
      <c r="P76" s="469"/>
      <c r="Q76" s="469"/>
      <c r="R76" s="469"/>
      <c r="S76" s="469"/>
      <c r="T76" s="469"/>
      <c r="U76" s="469"/>
      <c r="V76" s="469"/>
      <c r="W76" s="469"/>
      <c r="X76" s="469"/>
      <c r="Y76" s="469"/>
    </row>
    <row r="77" spans="1:25" x14ac:dyDescent="0.35">
      <c r="A77" s="473"/>
      <c r="B77" s="473"/>
      <c r="C77" s="473"/>
      <c r="D77" s="473"/>
      <c r="E77" s="473"/>
      <c r="F77" s="473"/>
      <c r="G77" s="473"/>
      <c r="H77" s="473"/>
      <c r="I77" s="473"/>
      <c r="J77" s="473"/>
      <c r="K77" s="473"/>
      <c r="L77" s="482"/>
      <c r="M77" s="482"/>
      <c r="N77" s="473"/>
      <c r="O77" s="473"/>
      <c r="P77" s="473"/>
      <c r="Q77" s="473"/>
      <c r="R77" s="473"/>
      <c r="S77" s="473"/>
      <c r="T77" s="473"/>
      <c r="U77" s="473"/>
      <c r="V77" s="473"/>
      <c r="W77" s="473"/>
      <c r="X77" s="473"/>
      <c r="Y77" s="473"/>
    </row>
    <row r="78" spans="1:25" x14ac:dyDescent="0.35">
      <c r="A78" s="760" t="s">
        <v>457</v>
      </c>
      <c r="B78" s="760"/>
      <c r="C78" s="760"/>
      <c r="D78" s="760"/>
      <c r="E78" s="760"/>
      <c r="F78" s="760"/>
      <c r="G78" s="760"/>
      <c r="H78" s="760"/>
      <c r="I78" s="760"/>
      <c r="J78" s="760"/>
      <c r="K78" s="34"/>
      <c r="L78" s="482"/>
      <c r="M78" s="482"/>
      <c r="N78" s="34"/>
      <c r="O78" s="473"/>
      <c r="P78" s="473"/>
      <c r="Q78" s="473"/>
      <c r="R78" s="473"/>
      <c r="S78" s="473"/>
      <c r="T78" s="473"/>
      <c r="U78" s="473"/>
      <c r="V78" s="473"/>
      <c r="W78" s="473"/>
      <c r="X78" s="473"/>
      <c r="Y78" s="473"/>
    </row>
    <row r="79" spans="1:25" ht="17" x14ac:dyDescent="0.35">
      <c r="A79" s="35" t="s">
        <v>458</v>
      </c>
      <c r="B79" s="36" t="s">
        <v>373</v>
      </c>
      <c r="C79" s="46">
        <f>C56</f>
        <v>1600</v>
      </c>
      <c r="D79" s="38" t="s">
        <v>243</v>
      </c>
      <c r="E79" s="35" t="s">
        <v>437</v>
      </c>
      <c r="F79" s="38">
        <v>1</v>
      </c>
      <c r="G79" s="38" t="s">
        <v>459</v>
      </c>
      <c r="H79" s="35"/>
      <c r="I79" s="35"/>
      <c r="J79" s="35"/>
      <c r="K79" s="473"/>
      <c r="L79" s="482"/>
      <c r="M79" s="482"/>
      <c r="N79" s="473"/>
      <c r="O79" s="473"/>
      <c r="P79" s="473"/>
      <c r="Q79" s="473"/>
      <c r="R79" s="473"/>
      <c r="S79" s="473"/>
      <c r="T79" s="473"/>
      <c r="U79" s="473"/>
      <c r="V79" s="473"/>
      <c r="W79" s="473"/>
      <c r="X79" s="473"/>
      <c r="Y79" s="473"/>
    </row>
    <row r="80" spans="1:25" ht="15.5" x14ac:dyDescent="0.35">
      <c r="A80" s="40" t="s">
        <v>460</v>
      </c>
      <c r="B80" s="35"/>
      <c r="C80" s="35">
        <v>1</v>
      </c>
      <c r="D80" s="35" t="s">
        <v>438</v>
      </c>
      <c r="E80" s="35"/>
      <c r="F80" s="60">
        <v>0.29499999999999998</v>
      </c>
      <c r="G80" s="35" t="s">
        <v>230</v>
      </c>
      <c r="H80" s="35"/>
      <c r="I80" s="35"/>
      <c r="J80" s="35"/>
      <c r="K80" s="473"/>
      <c r="L80" s="482"/>
      <c r="M80" s="482"/>
      <c r="N80" s="473"/>
      <c r="O80" s="473"/>
      <c r="P80" s="473"/>
      <c r="Q80" s="473"/>
      <c r="R80" s="473"/>
      <c r="S80" s="473"/>
      <c r="T80" s="473"/>
      <c r="U80" s="473"/>
      <c r="V80" s="473"/>
      <c r="W80" s="473"/>
      <c r="X80" s="473"/>
      <c r="Y80" s="473"/>
    </row>
    <row r="81" spans="1:25" ht="16.5" x14ac:dyDescent="0.35">
      <c r="A81" s="40" t="s">
        <v>461</v>
      </c>
      <c r="B81" s="474" t="s">
        <v>373</v>
      </c>
      <c r="C81" s="41">
        <f>C79/F80</f>
        <v>5423.7288135593226</v>
      </c>
      <c r="D81" s="42" t="s">
        <v>462</v>
      </c>
      <c r="E81" s="40"/>
      <c r="F81" s="40"/>
      <c r="G81" s="40"/>
      <c r="H81" s="40"/>
      <c r="I81" s="40"/>
      <c r="J81" s="40"/>
      <c r="K81" s="473"/>
      <c r="L81" s="482"/>
      <c r="M81" s="482"/>
      <c r="N81" s="473"/>
      <c r="O81" s="473"/>
      <c r="P81" s="473"/>
      <c r="Q81" s="473"/>
      <c r="R81" s="473"/>
      <c r="S81" s="473"/>
      <c r="T81" s="473"/>
      <c r="U81" s="473"/>
      <c r="V81" s="473"/>
      <c r="W81" s="473"/>
      <c r="X81" s="473"/>
      <c r="Y81" s="473"/>
    </row>
    <row r="82" spans="1:25" x14ac:dyDescent="0.35">
      <c r="A82" s="95" t="s">
        <v>463</v>
      </c>
      <c r="B82" s="473"/>
      <c r="C82" s="473"/>
      <c r="D82" s="473"/>
      <c r="E82" s="473"/>
      <c r="F82" s="473"/>
      <c r="G82" s="473"/>
      <c r="H82" s="473"/>
      <c r="I82" s="473"/>
      <c r="J82" s="473"/>
      <c r="K82" s="473"/>
      <c r="L82" s="482"/>
      <c r="M82" s="482"/>
      <c r="N82" s="473"/>
      <c r="O82" s="473"/>
      <c r="P82" s="473"/>
      <c r="Q82" s="473"/>
      <c r="R82" s="473"/>
      <c r="S82" s="473"/>
      <c r="T82" s="473"/>
      <c r="U82" s="473"/>
      <c r="V82" s="473"/>
      <c r="W82" s="473"/>
      <c r="X82" s="473"/>
      <c r="Y82" s="473"/>
    </row>
    <row r="83" spans="1:25" ht="17" x14ac:dyDescent="0.35">
      <c r="A83" s="473" t="s">
        <v>464</v>
      </c>
      <c r="B83" s="36" t="s">
        <v>373</v>
      </c>
      <c r="C83" s="483">
        <f>C81</f>
        <v>5423.7288135593226</v>
      </c>
      <c r="D83" s="476" t="s">
        <v>465</v>
      </c>
      <c r="E83" s="473" t="s">
        <v>437</v>
      </c>
      <c r="F83" s="484">
        <v>4</v>
      </c>
      <c r="G83" s="50">
        <v>0.5</v>
      </c>
      <c r="H83" s="473"/>
      <c r="I83" s="473"/>
      <c r="J83" s="473"/>
      <c r="K83" s="473"/>
      <c r="L83" s="482"/>
      <c r="M83" s="482"/>
      <c r="N83" s="473"/>
      <c r="O83" s="473"/>
      <c r="P83" s="473"/>
      <c r="Q83" s="473"/>
      <c r="R83" s="473"/>
      <c r="S83" s="473"/>
      <c r="T83" s="473"/>
      <c r="U83" s="473"/>
      <c r="V83" s="473"/>
      <c r="W83" s="473"/>
      <c r="X83" s="473"/>
      <c r="Y83" s="473"/>
    </row>
    <row r="84" spans="1:25" x14ac:dyDescent="0.35">
      <c r="A84" s="473"/>
      <c r="B84" s="473"/>
      <c r="C84" s="485"/>
      <c r="D84" s="473"/>
      <c r="E84" s="473"/>
      <c r="F84" s="486" t="s">
        <v>448</v>
      </c>
      <c r="G84" s="473"/>
      <c r="H84" s="473"/>
      <c r="I84" s="473"/>
      <c r="J84" s="473"/>
      <c r="K84" s="473"/>
      <c r="L84" s="482"/>
      <c r="M84" s="482"/>
      <c r="N84" s="473"/>
      <c r="O84" s="473"/>
      <c r="P84" s="473"/>
      <c r="Q84" s="473"/>
      <c r="R84" s="473"/>
      <c r="S84" s="473"/>
      <c r="T84" s="473"/>
      <c r="U84" s="473"/>
      <c r="V84" s="473"/>
      <c r="W84" s="473"/>
      <c r="X84" s="473"/>
      <c r="Y84" s="473"/>
    </row>
    <row r="85" spans="1:25" x14ac:dyDescent="0.35">
      <c r="A85" s="473"/>
      <c r="B85" s="36" t="s">
        <v>373</v>
      </c>
      <c r="C85" s="51">
        <f>ROUNDUP(SQRT(C83*F83/PI()),-0.5)</f>
        <v>84</v>
      </c>
      <c r="D85" s="42" t="s">
        <v>185</v>
      </c>
      <c r="E85" s="473"/>
      <c r="F85" s="473"/>
      <c r="G85" s="473"/>
      <c r="H85" s="473"/>
      <c r="I85" s="473"/>
      <c r="J85" s="473"/>
      <c r="K85" s="473"/>
      <c r="L85" s="482"/>
      <c r="M85" s="482"/>
      <c r="N85" s="473"/>
      <c r="O85" s="473"/>
      <c r="P85" s="473"/>
      <c r="Q85" s="473"/>
      <c r="R85" s="473"/>
      <c r="S85" s="473"/>
      <c r="T85" s="473"/>
      <c r="U85" s="473"/>
      <c r="V85" s="473"/>
      <c r="W85" s="473"/>
      <c r="X85" s="473"/>
      <c r="Y85" s="473"/>
    </row>
    <row r="86" spans="1:25" x14ac:dyDescent="0.35">
      <c r="A86" s="473"/>
      <c r="B86" s="36"/>
      <c r="C86" s="51"/>
      <c r="D86" s="42"/>
      <c r="E86" s="473"/>
      <c r="F86" s="473"/>
      <c r="G86" s="473"/>
      <c r="H86" s="473"/>
      <c r="I86" s="473"/>
      <c r="J86" s="473"/>
      <c r="K86" s="473"/>
      <c r="L86" s="482"/>
      <c r="M86" s="482"/>
      <c r="N86" s="473"/>
      <c r="O86" s="473"/>
      <c r="P86" s="473"/>
      <c r="Q86" s="473"/>
      <c r="R86" s="473"/>
      <c r="S86" s="473"/>
      <c r="T86" s="473"/>
      <c r="U86" s="473"/>
      <c r="V86" s="473"/>
      <c r="W86" s="473"/>
      <c r="X86" s="473"/>
      <c r="Y86" s="473"/>
    </row>
    <row r="87" spans="1:25" x14ac:dyDescent="0.35">
      <c r="A87" s="473" t="s">
        <v>466</v>
      </c>
      <c r="B87" s="36" t="s">
        <v>373</v>
      </c>
      <c r="C87" s="51">
        <v>15</v>
      </c>
      <c r="D87" s="42" t="s">
        <v>185</v>
      </c>
      <c r="E87" s="473"/>
      <c r="F87" s="473"/>
      <c r="G87" s="473"/>
      <c r="H87" s="473"/>
      <c r="I87" s="473"/>
      <c r="J87" s="473"/>
      <c r="K87" s="473"/>
      <c r="L87" s="482"/>
      <c r="M87" s="482"/>
      <c r="N87" s="473"/>
      <c r="O87" s="473"/>
      <c r="P87" s="473"/>
      <c r="Q87" s="473"/>
      <c r="R87" s="473"/>
      <c r="S87" s="473"/>
      <c r="T87" s="473"/>
      <c r="U87" s="473"/>
      <c r="V87" s="473"/>
      <c r="W87" s="473"/>
      <c r="X87" s="473"/>
      <c r="Y87" s="473"/>
    </row>
    <row r="88" spans="1:25" x14ac:dyDescent="0.35">
      <c r="A88" s="473"/>
      <c r="B88" s="36"/>
      <c r="C88" s="51"/>
      <c r="D88" s="42"/>
      <c r="E88" s="473"/>
      <c r="F88" s="473"/>
      <c r="G88" s="473"/>
      <c r="H88" s="473"/>
      <c r="I88" s="473"/>
      <c r="J88" s="473"/>
      <c r="K88" s="473"/>
      <c r="L88" s="482"/>
      <c r="M88" s="482"/>
      <c r="N88" s="473"/>
      <c r="O88" s="473"/>
      <c r="P88" s="473"/>
      <c r="Q88" s="473"/>
      <c r="R88" s="473"/>
      <c r="S88" s="473"/>
      <c r="T88" s="473"/>
      <c r="U88" s="473"/>
      <c r="V88" s="473"/>
      <c r="W88" s="473"/>
      <c r="X88" s="473"/>
      <c r="Y88" s="473"/>
    </row>
    <row r="89" spans="1:25" x14ac:dyDescent="0.35">
      <c r="A89" s="473" t="s">
        <v>467</v>
      </c>
      <c r="B89" s="36"/>
      <c r="C89" s="51"/>
      <c r="D89" s="42"/>
      <c r="E89" s="473"/>
      <c r="F89" s="473"/>
      <c r="G89" s="473"/>
      <c r="H89" s="473"/>
      <c r="I89" s="473"/>
      <c r="J89" s="473"/>
      <c r="K89" s="473"/>
      <c r="L89" s="482"/>
      <c r="M89" s="482"/>
      <c r="N89" s="473"/>
      <c r="O89" s="473"/>
      <c r="P89" s="473"/>
      <c r="Q89" s="473"/>
      <c r="R89" s="473"/>
      <c r="S89" s="473"/>
      <c r="T89" s="473"/>
      <c r="U89" s="473"/>
      <c r="V89" s="473"/>
      <c r="W89" s="473"/>
      <c r="X89" s="473"/>
      <c r="Y89" s="473"/>
    </row>
    <row r="90" spans="1:25" x14ac:dyDescent="0.35">
      <c r="A90" s="473"/>
      <c r="B90" s="36"/>
      <c r="C90" s="51"/>
      <c r="D90" s="42"/>
      <c r="E90" s="473"/>
      <c r="F90" s="473"/>
      <c r="G90" s="473"/>
      <c r="H90" s="473"/>
      <c r="I90" s="473"/>
      <c r="J90" s="473"/>
      <c r="K90" s="473"/>
      <c r="L90" s="482"/>
      <c r="M90" s="482"/>
      <c r="N90" s="473"/>
      <c r="O90" s="473"/>
      <c r="P90" s="473"/>
      <c r="Q90" s="473"/>
      <c r="R90" s="473"/>
      <c r="S90" s="473"/>
      <c r="T90" s="473"/>
      <c r="U90" s="473"/>
      <c r="V90" s="473"/>
      <c r="W90" s="473"/>
      <c r="X90" s="473"/>
      <c r="Y90" s="473"/>
    </row>
    <row r="91" spans="1:25" ht="17" x14ac:dyDescent="0.35">
      <c r="A91" s="473" t="s">
        <v>468</v>
      </c>
      <c r="B91" s="36" t="s">
        <v>373</v>
      </c>
      <c r="C91" s="487">
        <f>C163</f>
        <v>405511.03586028237</v>
      </c>
      <c r="D91" s="488" t="s">
        <v>469</v>
      </c>
      <c r="E91" s="35" t="s">
        <v>437</v>
      </c>
      <c r="F91" s="38">
        <v>1</v>
      </c>
      <c r="G91" s="38" t="s">
        <v>470</v>
      </c>
      <c r="H91" s="35" t="s">
        <v>437</v>
      </c>
      <c r="I91" s="38">
        <v>1</v>
      </c>
      <c r="J91" s="38" t="s">
        <v>471</v>
      </c>
      <c r="K91" s="35" t="s">
        <v>437</v>
      </c>
      <c r="L91" s="46">
        <v>1</v>
      </c>
      <c r="M91" s="46" t="s">
        <v>452</v>
      </c>
      <c r="N91" s="35" t="s">
        <v>437</v>
      </c>
      <c r="O91" s="37">
        <v>264.2</v>
      </c>
      <c r="P91" s="38" t="s">
        <v>243</v>
      </c>
      <c r="Q91" s="473"/>
      <c r="R91" s="473"/>
      <c r="S91" s="473"/>
      <c r="T91" s="473"/>
      <c r="U91" s="473"/>
      <c r="V91" s="473"/>
      <c r="W91" s="473"/>
      <c r="X91" s="473"/>
      <c r="Y91" s="473"/>
    </row>
    <row r="92" spans="1:25" ht="17" x14ac:dyDescent="0.35">
      <c r="A92" s="473"/>
      <c r="B92" s="36"/>
      <c r="C92" s="489"/>
      <c r="D92" s="473" t="s">
        <v>471</v>
      </c>
      <c r="E92" s="35"/>
      <c r="F92" s="35">
        <v>2.2000000000000002</v>
      </c>
      <c r="G92" s="35" t="s">
        <v>469</v>
      </c>
      <c r="H92" s="35"/>
      <c r="I92" s="49">
        <v>1440</v>
      </c>
      <c r="J92" s="35" t="s">
        <v>438</v>
      </c>
      <c r="K92" s="35"/>
      <c r="L92" s="49">
        <v>1190</v>
      </c>
      <c r="M92" s="49" t="s">
        <v>470</v>
      </c>
      <c r="N92" s="35"/>
      <c r="O92" s="35">
        <v>1</v>
      </c>
      <c r="P92" s="35" t="s">
        <v>452</v>
      </c>
      <c r="Q92" s="473"/>
      <c r="R92" s="473"/>
      <c r="S92" s="473"/>
      <c r="T92" s="473"/>
      <c r="U92" s="473"/>
      <c r="V92" s="473"/>
      <c r="W92" s="473"/>
      <c r="X92" s="473"/>
      <c r="Y92" s="473"/>
    </row>
    <row r="93" spans="1:25" x14ac:dyDescent="0.35">
      <c r="A93" s="473"/>
      <c r="B93" s="36" t="s">
        <v>373</v>
      </c>
      <c r="C93" s="51">
        <f>ROUNDUP((C91*O91/F92/I92/L92),0)</f>
        <v>29</v>
      </c>
      <c r="D93" s="42" t="s">
        <v>230</v>
      </c>
      <c r="E93" s="473"/>
      <c r="F93" s="473"/>
      <c r="G93" s="473"/>
      <c r="H93" s="473"/>
      <c r="I93" s="473"/>
      <c r="J93" s="473"/>
      <c r="K93" s="473"/>
      <c r="L93" s="473"/>
      <c r="M93" s="473"/>
      <c r="N93" s="473"/>
      <c r="O93" s="473"/>
      <c r="P93" s="473"/>
      <c r="Q93" s="473"/>
      <c r="R93" s="473"/>
      <c r="S93" s="473"/>
      <c r="T93" s="473"/>
      <c r="U93" s="473"/>
      <c r="V93" s="473"/>
      <c r="W93" s="473"/>
      <c r="X93" s="473"/>
      <c r="Y93" s="473"/>
    </row>
    <row r="94" spans="1:25" x14ac:dyDescent="0.35">
      <c r="A94" s="473"/>
      <c r="B94" s="36"/>
      <c r="C94" s="51"/>
      <c r="D94" s="42"/>
      <c r="E94" s="473"/>
      <c r="F94" s="473"/>
      <c r="G94" s="473"/>
      <c r="H94" s="473"/>
      <c r="I94" s="473"/>
      <c r="J94" s="473"/>
      <c r="K94" s="473"/>
      <c r="L94" s="473"/>
      <c r="M94" s="473"/>
      <c r="N94" s="473"/>
      <c r="O94" s="473"/>
      <c r="P94" s="473"/>
      <c r="Q94" s="473"/>
      <c r="R94" s="473"/>
      <c r="S94" s="473"/>
      <c r="T94" s="473"/>
      <c r="U94" s="473"/>
      <c r="V94" s="473"/>
      <c r="W94" s="473"/>
      <c r="X94" s="473"/>
      <c r="Y94" s="473"/>
    </row>
    <row r="95" spans="1:25" x14ac:dyDescent="0.35">
      <c r="A95" s="473"/>
      <c r="B95" s="36"/>
      <c r="C95" s="51"/>
      <c r="D95" s="42"/>
      <c r="E95" s="473"/>
      <c r="F95" s="473"/>
      <c r="G95" s="473"/>
      <c r="H95" s="473"/>
      <c r="I95" s="473"/>
      <c r="J95" s="473"/>
      <c r="K95" s="473"/>
      <c r="L95" s="473"/>
      <c r="M95" s="473"/>
      <c r="N95" s="473"/>
      <c r="O95" s="473"/>
      <c r="P95" s="473"/>
      <c r="Q95" s="473"/>
      <c r="R95" s="473"/>
      <c r="S95" s="473"/>
      <c r="T95" s="473"/>
      <c r="U95" s="473"/>
      <c r="V95" s="473"/>
      <c r="W95" s="473"/>
      <c r="X95" s="473"/>
      <c r="Y95" s="473"/>
    </row>
    <row r="96" spans="1:25" x14ac:dyDescent="0.35">
      <c r="A96" s="473" t="s">
        <v>472</v>
      </c>
      <c r="B96" s="43" t="s">
        <v>373</v>
      </c>
      <c r="C96" s="38">
        <v>3</v>
      </c>
      <c r="D96" s="38" t="s">
        <v>473</v>
      </c>
      <c r="E96" s="35" t="s">
        <v>437</v>
      </c>
      <c r="F96" s="46">
        <f>C18</f>
        <v>179965.47452119298</v>
      </c>
      <c r="G96" s="38" t="s">
        <v>469</v>
      </c>
      <c r="H96" s="35" t="s">
        <v>437</v>
      </c>
      <c r="I96" s="46"/>
      <c r="J96" s="38"/>
      <c r="K96" s="35" t="s">
        <v>437</v>
      </c>
      <c r="L96" s="46">
        <v>1</v>
      </c>
      <c r="M96" s="38" t="s">
        <v>243</v>
      </c>
      <c r="N96" s="35" t="s">
        <v>437</v>
      </c>
      <c r="O96" s="39"/>
      <c r="P96" s="38"/>
      <c r="Q96" s="35" t="s">
        <v>437</v>
      </c>
      <c r="R96" s="39">
        <v>1</v>
      </c>
      <c r="S96" s="38" t="s">
        <v>471</v>
      </c>
      <c r="T96" s="473"/>
      <c r="U96" s="473"/>
      <c r="V96" s="473"/>
      <c r="W96" s="473"/>
      <c r="X96" s="473"/>
      <c r="Y96" s="473"/>
    </row>
    <row r="97" spans="1:25" x14ac:dyDescent="0.35">
      <c r="A97" s="473" t="s">
        <v>474</v>
      </c>
      <c r="B97" s="469"/>
      <c r="C97" s="35"/>
      <c r="D97" s="35"/>
      <c r="E97" s="35"/>
      <c r="F97" s="35"/>
      <c r="G97" s="35" t="s">
        <v>202</v>
      </c>
      <c r="H97" s="35"/>
      <c r="I97" s="52">
        <f>F162</f>
        <v>0.25</v>
      </c>
      <c r="J97" s="35" t="s">
        <v>475</v>
      </c>
      <c r="K97" s="35"/>
      <c r="L97" s="35">
        <v>8.34</v>
      </c>
      <c r="M97" s="35" t="s">
        <v>469</v>
      </c>
      <c r="N97" s="469"/>
      <c r="O97" s="35">
        <v>1.19</v>
      </c>
      <c r="P97" s="35" t="s">
        <v>476</v>
      </c>
      <c r="Q97" s="469"/>
      <c r="R97" s="49">
        <v>1440</v>
      </c>
      <c r="S97" s="35" t="s">
        <v>438</v>
      </c>
      <c r="T97" s="473"/>
      <c r="U97" s="473"/>
      <c r="V97" s="473"/>
      <c r="W97" s="473"/>
      <c r="X97" s="473"/>
      <c r="Y97" s="473"/>
    </row>
    <row r="98" spans="1:25" x14ac:dyDescent="0.35">
      <c r="A98" s="473"/>
      <c r="B98" s="43" t="s">
        <v>373</v>
      </c>
      <c r="C98" s="45">
        <f>ROUNDUP(C96*F96/I97/L97/O97/R97,0)</f>
        <v>152</v>
      </c>
      <c r="D98" s="27" t="s">
        <v>477</v>
      </c>
      <c r="E98" s="469"/>
      <c r="F98" s="469"/>
      <c r="G98" s="469"/>
      <c r="H98" s="469"/>
      <c r="I98" s="469"/>
      <c r="J98" s="469"/>
      <c r="K98" s="469"/>
      <c r="L98" s="469"/>
      <c r="M98" s="469"/>
      <c r="N98" s="469"/>
      <c r="O98" s="469"/>
      <c r="P98" s="469"/>
      <c r="Q98" s="473"/>
      <c r="R98" s="473"/>
      <c r="S98" s="473"/>
      <c r="T98" s="473"/>
      <c r="U98" s="473"/>
      <c r="V98" s="473"/>
      <c r="W98" s="473"/>
      <c r="X98" s="473"/>
      <c r="Y98" s="473"/>
    </row>
    <row r="99" spans="1:25" ht="15.5" x14ac:dyDescent="0.35">
      <c r="A99" s="759" t="s">
        <v>478</v>
      </c>
      <c r="B99" s="759"/>
      <c r="C99" s="759"/>
      <c r="D99" s="759"/>
      <c r="E99" s="759"/>
      <c r="F99" s="759"/>
      <c r="G99" s="759"/>
      <c r="H99" s="759"/>
      <c r="I99" s="759"/>
      <c r="J99" s="759"/>
      <c r="K99" s="33"/>
      <c r="L99" s="473"/>
      <c r="M99" s="473"/>
      <c r="N99" s="33"/>
      <c r="O99" s="473"/>
      <c r="P99" s="473"/>
      <c r="Q99" s="473"/>
      <c r="R99" s="473"/>
      <c r="S99" s="473"/>
      <c r="T99" s="473"/>
      <c r="U99" s="473"/>
      <c r="V99" s="473"/>
      <c r="W99" s="473"/>
      <c r="X99" s="473"/>
      <c r="Y99" s="473"/>
    </row>
    <row r="100" spans="1:25" x14ac:dyDescent="0.35">
      <c r="A100" s="760" t="s">
        <v>263</v>
      </c>
      <c r="B100" s="760"/>
      <c r="C100" s="760"/>
      <c r="D100" s="760"/>
      <c r="E100" s="760"/>
      <c r="F100" s="760"/>
      <c r="G100" s="760"/>
      <c r="H100" s="760"/>
      <c r="I100" s="760"/>
      <c r="J100" s="760"/>
      <c r="K100" s="34"/>
      <c r="L100" s="473"/>
      <c r="M100" s="473"/>
      <c r="N100" s="34"/>
      <c r="O100" s="473"/>
      <c r="P100" s="473"/>
      <c r="Q100" s="473"/>
      <c r="R100" s="473"/>
      <c r="S100" s="473"/>
      <c r="T100" s="473"/>
      <c r="U100" s="473"/>
      <c r="V100" s="473"/>
      <c r="W100" s="473"/>
      <c r="X100" s="473"/>
      <c r="Y100" s="473"/>
    </row>
    <row r="101" spans="1:25" x14ac:dyDescent="0.35">
      <c r="A101" s="35" t="s">
        <v>436</v>
      </c>
      <c r="B101" s="36" t="s">
        <v>373</v>
      </c>
      <c r="C101" s="46">
        <f>C20</f>
        <v>1100</v>
      </c>
      <c r="D101" s="38" t="s">
        <v>243</v>
      </c>
      <c r="E101" s="35" t="s">
        <v>437</v>
      </c>
      <c r="F101" s="38">
        <v>18</v>
      </c>
      <c r="G101" s="38" t="s">
        <v>438</v>
      </c>
      <c r="H101" s="35"/>
      <c r="I101" s="35"/>
      <c r="J101" s="35"/>
      <c r="K101" s="473"/>
      <c r="L101" s="473"/>
      <c r="M101" s="473"/>
      <c r="N101" s="473"/>
      <c r="O101" s="473"/>
      <c r="P101" s="473"/>
      <c r="Q101" s="473"/>
      <c r="R101" s="473"/>
      <c r="S101" s="473"/>
      <c r="T101" s="473"/>
      <c r="U101" s="473"/>
      <c r="V101" s="473"/>
      <c r="W101" s="473"/>
      <c r="X101" s="473"/>
      <c r="Y101" s="473"/>
    </row>
    <row r="102" spans="1:25" x14ac:dyDescent="0.35">
      <c r="A102" s="35"/>
      <c r="B102" s="35"/>
      <c r="C102" s="49">
        <v>1</v>
      </c>
      <c r="D102" s="35" t="s">
        <v>438</v>
      </c>
      <c r="E102" s="35"/>
      <c r="F102" s="35"/>
      <c r="G102" s="35"/>
      <c r="H102" s="35"/>
      <c r="I102" s="35"/>
      <c r="J102" s="35"/>
      <c r="K102" s="473"/>
      <c r="L102" s="473"/>
      <c r="M102" s="473"/>
      <c r="N102" s="473"/>
      <c r="O102" s="473"/>
      <c r="P102" s="473"/>
      <c r="Q102" s="473"/>
      <c r="R102" s="473"/>
      <c r="S102" s="473"/>
      <c r="T102" s="473"/>
      <c r="U102" s="473"/>
      <c r="V102" s="473"/>
      <c r="W102" s="473"/>
      <c r="X102" s="473"/>
      <c r="Y102" s="473"/>
    </row>
    <row r="103" spans="1:25" x14ac:dyDescent="0.35">
      <c r="A103" s="40"/>
      <c r="B103" s="474" t="s">
        <v>373</v>
      </c>
      <c r="C103" s="41">
        <f>C101*F101</f>
        <v>19800</v>
      </c>
      <c r="D103" s="42" t="s">
        <v>243</v>
      </c>
      <c r="E103" s="40"/>
      <c r="F103" s="40"/>
      <c r="G103" s="40"/>
      <c r="H103" s="40"/>
      <c r="I103" s="40"/>
      <c r="J103" s="40"/>
      <c r="K103" s="473"/>
      <c r="L103" s="473"/>
      <c r="M103" s="473"/>
      <c r="N103" s="473"/>
      <c r="O103" s="473"/>
      <c r="P103" s="473"/>
      <c r="Q103" s="473"/>
      <c r="R103" s="473"/>
      <c r="S103" s="473"/>
      <c r="T103" s="473"/>
      <c r="U103" s="473"/>
      <c r="V103" s="473"/>
      <c r="W103" s="473"/>
      <c r="X103" s="473"/>
      <c r="Y103" s="473"/>
    </row>
    <row r="104" spans="1:25" x14ac:dyDescent="0.35">
      <c r="A104" s="40"/>
      <c r="B104" s="474"/>
      <c r="C104" s="41"/>
      <c r="D104" s="42"/>
      <c r="E104" s="40"/>
      <c r="F104" s="40"/>
      <c r="G104" s="40"/>
      <c r="H104" s="40"/>
      <c r="I104" s="40"/>
      <c r="J104" s="40"/>
      <c r="K104" s="473"/>
      <c r="L104" s="473"/>
      <c r="M104" s="473"/>
      <c r="N104" s="473"/>
      <c r="O104" s="473"/>
      <c r="P104" s="473"/>
      <c r="Q104" s="473"/>
      <c r="R104" s="473"/>
      <c r="S104" s="473"/>
      <c r="T104" s="473"/>
      <c r="U104" s="473"/>
      <c r="V104" s="473"/>
      <c r="W104" s="473"/>
      <c r="X104" s="473"/>
      <c r="Y104" s="473"/>
    </row>
    <row r="105" spans="1:25" x14ac:dyDescent="0.35">
      <c r="A105" s="40"/>
      <c r="B105" s="36" t="s">
        <v>373</v>
      </c>
      <c r="C105" s="46">
        <f>C103</f>
        <v>19800</v>
      </c>
      <c r="D105" s="38" t="s">
        <v>243</v>
      </c>
      <c r="E105" s="35" t="s">
        <v>437</v>
      </c>
      <c r="F105" s="38">
        <v>1.1000000000000001</v>
      </c>
      <c r="G105" s="38" t="s">
        <v>442</v>
      </c>
      <c r="H105" s="40"/>
      <c r="I105" s="40"/>
      <c r="J105" s="40"/>
      <c r="K105" s="473"/>
      <c r="L105" s="473"/>
      <c r="M105" s="473"/>
      <c r="N105" s="473"/>
      <c r="O105" s="473"/>
      <c r="P105" s="473"/>
      <c r="Q105" s="473"/>
      <c r="R105" s="473"/>
      <c r="S105" s="473"/>
      <c r="T105" s="473"/>
      <c r="U105" s="473"/>
      <c r="V105" s="473"/>
      <c r="W105" s="473"/>
      <c r="X105" s="473"/>
      <c r="Y105" s="473"/>
    </row>
    <row r="106" spans="1:25" x14ac:dyDescent="0.35">
      <c r="A106" s="40"/>
      <c r="B106" s="35"/>
      <c r="C106" s="49">
        <v>1</v>
      </c>
      <c r="D106" s="35" t="s">
        <v>438</v>
      </c>
      <c r="E106" s="35"/>
      <c r="F106" s="35"/>
      <c r="G106" s="35"/>
      <c r="H106" s="40"/>
      <c r="I106" s="40"/>
      <c r="J106" s="40"/>
      <c r="K106" s="473"/>
      <c r="L106" s="473"/>
      <c r="M106" s="473"/>
      <c r="N106" s="473"/>
      <c r="O106" s="473"/>
      <c r="P106" s="473"/>
      <c r="Q106" s="473"/>
      <c r="R106" s="473"/>
      <c r="S106" s="473"/>
      <c r="T106" s="473"/>
      <c r="U106" s="473"/>
      <c r="V106" s="473"/>
      <c r="W106" s="473"/>
      <c r="X106" s="473"/>
      <c r="Y106" s="473"/>
    </row>
    <row r="107" spans="1:25" x14ac:dyDescent="0.35">
      <c r="A107" s="40"/>
      <c r="B107" s="474" t="s">
        <v>373</v>
      </c>
      <c r="C107" s="41">
        <f>ROUNDUP(C105*F105,-3)</f>
        <v>22000</v>
      </c>
      <c r="D107" s="42" t="s">
        <v>243</v>
      </c>
      <c r="E107" s="40"/>
      <c r="F107" s="40"/>
      <c r="G107" s="40"/>
      <c r="H107" s="40"/>
      <c r="I107" s="40"/>
      <c r="J107" s="40"/>
      <c r="K107" s="473"/>
      <c r="L107" s="473"/>
      <c r="M107" s="473"/>
      <c r="N107" s="473"/>
      <c r="O107" s="473"/>
      <c r="P107" s="473"/>
      <c r="Q107" s="473"/>
      <c r="R107" s="473"/>
      <c r="S107" s="473"/>
      <c r="T107" s="473"/>
      <c r="U107" s="473"/>
      <c r="V107" s="473"/>
      <c r="W107" s="473"/>
      <c r="X107" s="473"/>
      <c r="Y107" s="473"/>
    </row>
    <row r="108" spans="1:25" x14ac:dyDescent="0.35">
      <c r="A108" s="40"/>
      <c r="B108" s="474"/>
      <c r="C108" s="41"/>
      <c r="D108" s="42"/>
      <c r="E108" s="40"/>
      <c r="F108" s="40"/>
      <c r="G108" s="40"/>
      <c r="H108" s="40"/>
      <c r="I108" s="40"/>
      <c r="J108" s="40"/>
      <c r="K108" s="473"/>
      <c r="L108" s="473"/>
      <c r="M108" s="473"/>
      <c r="N108" s="473"/>
      <c r="O108" s="473"/>
      <c r="P108" s="473"/>
      <c r="Q108" s="473"/>
      <c r="R108" s="473"/>
      <c r="S108" s="473"/>
      <c r="T108" s="473"/>
      <c r="U108" s="473"/>
      <c r="V108" s="473"/>
      <c r="W108" s="473"/>
      <c r="X108" s="473"/>
      <c r="Y108" s="473"/>
    </row>
    <row r="109" spans="1:25" ht="17" x14ac:dyDescent="0.35">
      <c r="A109" s="469"/>
      <c r="B109" s="471" t="s">
        <v>373</v>
      </c>
      <c r="C109" s="475">
        <f>C107</f>
        <v>22000</v>
      </c>
      <c r="D109" s="476" t="s">
        <v>243</v>
      </c>
      <c r="E109" s="469" t="s">
        <v>437</v>
      </c>
      <c r="F109" s="476">
        <v>1</v>
      </c>
      <c r="G109" s="476" t="s">
        <v>444</v>
      </c>
      <c r="H109" s="469"/>
      <c r="I109" s="469"/>
      <c r="J109" s="469"/>
      <c r="K109" s="469"/>
      <c r="L109" s="469"/>
      <c r="M109" s="469"/>
      <c r="N109" s="469"/>
      <c r="O109" s="469"/>
      <c r="P109" s="469"/>
      <c r="Q109" s="469"/>
      <c r="R109" s="469"/>
      <c r="S109" s="469"/>
      <c r="T109" s="469"/>
      <c r="U109" s="469"/>
      <c r="V109" s="469"/>
      <c r="W109" s="469"/>
      <c r="X109" s="469"/>
      <c r="Y109" s="469"/>
    </row>
    <row r="110" spans="1:25" x14ac:dyDescent="0.35">
      <c r="A110" s="469"/>
      <c r="B110" s="471"/>
      <c r="C110" s="26"/>
      <c r="D110" s="27"/>
      <c r="E110" s="469"/>
      <c r="F110" s="477">
        <v>7.4809999999999999</v>
      </c>
      <c r="G110" s="469" t="s">
        <v>243</v>
      </c>
      <c r="H110" s="469"/>
      <c r="I110" s="469"/>
      <c r="J110" s="469"/>
      <c r="K110" s="469"/>
      <c r="L110" s="469"/>
      <c r="M110" s="469"/>
      <c r="N110" s="469"/>
      <c r="O110" s="469"/>
      <c r="P110" s="469"/>
      <c r="Q110" s="469"/>
      <c r="R110" s="469"/>
      <c r="S110" s="469"/>
      <c r="T110" s="469"/>
      <c r="U110" s="469"/>
      <c r="V110" s="469"/>
      <c r="W110" s="469"/>
      <c r="X110" s="469"/>
      <c r="Y110" s="469"/>
    </row>
    <row r="111" spans="1:25" ht="16.5" x14ac:dyDescent="0.35">
      <c r="A111" s="469"/>
      <c r="B111" s="471" t="s">
        <v>373</v>
      </c>
      <c r="C111" s="26">
        <f>C109/F110</f>
        <v>2940.7833177382704</v>
      </c>
      <c r="D111" s="27" t="s">
        <v>445</v>
      </c>
      <c r="E111" s="469"/>
      <c r="F111" s="469"/>
      <c r="G111" s="469"/>
      <c r="H111" s="469"/>
      <c r="I111" s="469"/>
      <c r="J111" s="469"/>
      <c r="K111" s="469"/>
      <c r="L111" s="469"/>
      <c r="M111" s="469"/>
      <c r="N111" s="469"/>
      <c r="O111" s="469"/>
      <c r="P111" s="469"/>
      <c r="Q111" s="469"/>
      <c r="R111" s="469"/>
      <c r="S111" s="469"/>
      <c r="T111" s="469"/>
      <c r="U111" s="469"/>
      <c r="V111" s="469"/>
      <c r="W111" s="469"/>
      <c r="X111" s="469"/>
      <c r="Y111" s="469"/>
    </row>
    <row r="112" spans="1:25" x14ac:dyDescent="0.35">
      <c r="A112" s="469"/>
      <c r="B112" s="471"/>
      <c r="C112" s="26"/>
      <c r="D112" s="27"/>
      <c r="E112" s="469"/>
      <c r="F112" s="469"/>
      <c r="G112" s="469"/>
      <c r="H112" s="469"/>
      <c r="I112" s="469"/>
      <c r="J112" s="469"/>
      <c r="K112" s="469"/>
      <c r="L112" s="469"/>
      <c r="M112" s="469"/>
      <c r="N112" s="469"/>
      <c r="O112" s="469"/>
      <c r="P112" s="469"/>
      <c r="Q112" s="469"/>
      <c r="R112" s="469"/>
      <c r="S112" s="469"/>
      <c r="T112" s="469"/>
      <c r="U112" s="469"/>
      <c r="V112" s="469"/>
      <c r="W112" s="469"/>
      <c r="X112" s="469"/>
      <c r="Y112" s="469"/>
    </row>
    <row r="113" spans="1:25" x14ac:dyDescent="0.35">
      <c r="A113" s="469" t="s">
        <v>446</v>
      </c>
      <c r="B113" s="471" t="s">
        <v>373</v>
      </c>
      <c r="C113" s="309">
        <v>20</v>
      </c>
      <c r="D113" s="310" t="s">
        <v>185</v>
      </c>
      <c r="E113" s="469"/>
      <c r="F113" s="469"/>
      <c r="G113" s="469"/>
      <c r="H113" s="469"/>
      <c r="I113" s="469"/>
      <c r="J113" s="469"/>
      <c r="K113" s="469"/>
      <c r="L113" s="469"/>
      <c r="M113" s="469"/>
      <c r="N113" s="469"/>
      <c r="O113" s="469"/>
      <c r="P113" s="469"/>
      <c r="Q113" s="469"/>
      <c r="R113" s="469"/>
      <c r="S113" s="469"/>
      <c r="T113" s="469"/>
      <c r="U113" s="469"/>
      <c r="V113" s="469"/>
      <c r="W113" s="469"/>
      <c r="X113" s="469"/>
      <c r="Y113" s="469"/>
    </row>
    <row r="114" spans="1:25" x14ac:dyDescent="0.35">
      <c r="A114" s="469"/>
      <c r="B114" s="471"/>
      <c r="C114" s="26"/>
      <c r="D114" s="27"/>
      <c r="E114" s="469"/>
      <c r="F114" s="469"/>
      <c r="G114" s="469"/>
      <c r="H114" s="469"/>
      <c r="I114" s="469"/>
      <c r="J114" s="469"/>
      <c r="K114" s="469"/>
      <c r="L114" s="469"/>
      <c r="M114" s="469"/>
      <c r="N114" s="469"/>
      <c r="O114" s="469"/>
      <c r="P114" s="469"/>
      <c r="Q114" s="469"/>
      <c r="R114" s="469"/>
      <c r="S114" s="469"/>
      <c r="T114" s="469"/>
      <c r="U114" s="469"/>
      <c r="V114" s="469"/>
      <c r="W114" s="469"/>
      <c r="X114" s="469"/>
      <c r="Y114" s="469"/>
    </row>
    <row r="115" spans="1:25" ht="17" x14ac:dyDescent="0.35">
      <c r="A115" s="469" t="s">
        <v>447</v>
      </c>
      <c r="B115" s="43" t="s">
        <v>373</v>
      </c>
      <c r="C115" s="478">
        <f>C111</f>
        <v>2940.7833177382704</v>
      </c>
      <c r="D115" s="476" t="s">
        <v>444</v>
      </c>
      <c r="E115" s="469" t="s">
        <v>437</v>
      </c>
      <c r="F115" s="479">
        <v>4</v>
      </c>
      <c r="G115" s="44">
        <v>0.5</v>
      </c>
      <c r="H115" s="469"/>
      <c r="I115" s="469"/>
      <c r="J115" s="469"/>
      <c r="K115" s="469"/>
      <c r="L115" s="469"/>
      <c r="M115" s="469"/>
      <c r="N115" s="469"/>
      <c r="O115" s="469"/>
      <c r="P115" s="469"/>
      <c r="Q115" s="469"/>
      <c r="R115" s="469"/>
      <c r="S115" s="469"/>
      <c r="T115" s="469"/>
      <c r="U115" s="469"/>
      <c r="V115" s="469"/>
      <c r="W115" s="469"/>
      <c r="X115" s="469"/>
      <c r="Y115" s="469"/>
    </row>
    <row r="116" spans="1:25" x14ac:dyDescent="0.35">
      <c r="A116" s="469"/>
      <c r="B116" s="469"/>
      <c r="C116" s="480">
        <f>C113</f>
        <v>20</v>
      </c>
      <c r="D116" s="469" t="s">
        <v>185</v>
      </c>
      <c r="E116" s="469"/>
      <c r="F116" s="481" t="s">
        <v>448</v>
      </c>
      <c r="G116" s="469"/>
      <c r="H116" s="469"/>
      <c r="I116" s="469"/>
      <c r="J116" s="469"/>
      <c r="K116" s="469"/>
      <c r="L116" s="469"/>
      <c r="M116" s="469"/>
      <c r="N116" s="469"/>
      <c r="O116" s="469"/>
      <c r="P116" s="469"/>
      <c r="Q116" s="469"/>
      <c r="R116" s="469"/>
      <c r="S116" s="469"/>
      <c r="T116" s="469"/>
      <c r="U116" s="469"/>
      <c r="V116" s="469"/>
      <c r="W116" s="469"/>
      <c r="X116" s="469"/>
      <c r="Y116" s="469"/>
    </row>
    <row r="117" spans="1:25" x14ac:dyDescent="0.35">
      <c r="A117" s="469"/>
      <c r="B117" s="43" t="s">
        <v>373</v>
      </c>
      <c r="C117" s="26">
        <f>ROUNDUP(SQRT(C115/C116*F115/PI()),-0.5)</f>
        <v>14</v>
      </c>
      <c r="D117" s="27" t="s">
        <v>185</v>
      </c>
      <c r="E117" s="469"/>
      <c r="F117" s="469"/>
      <c r="G117" s="469"/>
      <c r="H117" s="469"/>
      <c r="I117" s="469"/>
      <c r="J117" s="469"/>
      <c r="K117" s="469"/>
      <c r="L117" s="469"/>
      <c r="M117" s="469"/>
      <c r="N117" s="469"/>
      <c r="O117" s="469"/>
      <c r="P117" s="469"/>
      <c r="Q117" s="469"/>
      <c r="R117" s="469"/>
      <c r="S117" s="469"/>
      <c r="T117" s="469"/>
      <c r="U117" s="469"/>
      <c r="V117" s="469"/>
      <c r="W117" s="469"/>
      <c r="X117" s="469"/>
      <c r="Y117" s="469"/>
    </row>
    <row r="118" spans="1:25" x14ac:dyDescent="0.35">
      <c r="A118" s="473"/>
      <c r="B118" s="473"/>
      <c r="C118" s="473"/>
      <c r="D118" s="473"/>
      <c r="E118" s="473"/>
      <c r="F118" s="473"/>
      <c r="G118" s="473"/>
      <c r="H118" s="473"/>
      <c r="I118" s="473"/>
      <c r="J118" s="473"/>
      <c r="K118" s="473"/>
      <c r="L118" s="473"/>
      <c r="M118" s="473"/>
      <c r="N118" s="473"/>
      <c r="O118" s="473"/>
      <c r="P118" s="473"/>
      <c r="Q118" s="473"/>
      <c r="R118" s="469"/>
      <c r="S118" s="469"/>
      <c r="T118" s="469"/>
      <c r="U118" s="469"/>
      <c r="V118" s="469"/>
      <c r="W118" s="469"/>
      <c r="X118" s="469"/>
      <c r="Y118" s="469"/>
    </row>
    <row r="119" spans="1:25" ht="17" x14ac:dyDescent="0.35">
      <c r="A119" s="469" t="s">
        <v>449</v>
      </c>
      <c r="B119" s="43" t="s">
        <v>373</v>
      </c>
      <c r="C119" s="38">
        <f>1.139 * 10^-3</f>
        <v>1.139E-3</v>
      </c>
      <c r="D119" s="38" t="s">
        <v>450</v>
      </c>
      <c r="E119" s="35" t="s">
        <v>437</v>
      </c>
      <c r="F119" s="46">
        <f>C111</f>
        <v>2940.7833177382704</v>
      </c>
      <c r="G119" s="38" t="s">
        <v>451</v>
      </c>
      <c r="H119" s="35" t="s">
        <v>437</v>
      </c>
      <c r="I119" s="46">
        <v>1</v>
      </c>
      <c r="J119" s="38" t="s">
        <v>452</v>
      </c>
      <c r="K119" s="35" t="s">
        <v>437</v>
      </c>
      <c r="L119" s="47"/>
      <c r="M119" s="38" t="s">
        <v>453</v>
      </c>
      <c r="N119" s="35" t="s">
        <v>437</v>
      </c>
      <c r="O119" s="37">
        <v>300</v>
      </c>
      <c r="P119" s="38"/>
      <c r="Q119" s="48">
        <v>2</v>
      </c>
      <c r="R119" s="469"/>
      <c r="S119" s="469"/>
      <c r="T119" s="469"/>
      <c r="U119" s="469"/>
      <c r="V119" s="469"/>
      <c r="W119" s="469"/>
      <c r="X119" s="469"/>
      <c r="Y119" s="469"/>
    </row>
    <row r="120" spans="1:25" ht="17" x14ac:dyDescent="0.35">
      <c r="A120" s="469"/>
      <c r="B120" s="469"/>
      <c r="C120" s="35"/>
      <c r="D120" s="35" t="s">
        <v>454</v>
      </c>
      <c r="E120" s="35"/>
      <c r="F120" s="35"/>
      <c r="G120" s="35"/>
      <c r="H120" s="35"/>
      <c r="I120" s="49">
        <v>35.299999999999997</v>
      </c>
      <c r="J120" s="35" t="s">
        <v>451</v>
      </c>
      <c r="K120" s="35"/>
      <c r="L120" s="49">
        <v>1000</v>
      </c>
      <c r="M120" s="35" t="s">
        <v>455</v>
      </c>
      <c r="N120" s="469"/>
      <c r="O120" s="35">
        <v>1</v>
      </c>
      <c r="P120" s="35" t="s">
        <v>456</v>
      </c>
      <c r="Q120" s="35"/>
      <c r="R120" s="469"/>
      <c r="S120" s="469"/>
      <c r="T120" s="469"/>
      <c r="U120" s="469"/>
      <c r="V120" s="469"/>
      <c r="W120" s="469"/>
      <c r="X120" s="469"/>
      <c r="Y120" s="469"/>
    </row>
    <row r="121" spans="1:25" x14ac:dyDescent="0.35">
      <c r="A121" s="469"/>
      <c r="B121" s="43" t="s">
        <v>373</v>
      </c>
      <c r="C121" s="45">
        <f>ROUNDUP((O119^Q119)*F119*C119/I120/L120,-0.5)</f>
        <v>9</v>
      </c>
      <c r="D121" s="27" t="s">
        <v>455</v>
      </c>
      <c r="E121" s="469"/>
      <c r="F121" s="469"/>
      <c r="G121" s="469"/>
      <c r="H121" s="469"/>
      <c r="I121" s="469"/>
      <c r="J121" s="469"/>
      <c r="K121" s="469"/>
      <c r="L121" s="469"/>
      <c r="M121" s="469"/>
      <c r="N121" s="469"/>
      <c r="O121" s="469"/>
      <c r="P121" s="469"/>
      <c r="Q121" s="469"/>
      <c r="R121" s="469"/>
      <c r="S121" s="469"/>
      <c r="T121" s="469"/>
      <c r="U121" s="469"/>
      <c r="V121" s="469"/>
      <c r="W121" s="469"/>
      <c r="X121" s="469"/>
      <c r="Y121" s="469"/>
    </row>
    <row r="123" spans="1:25" ht="15.5" x14ac:dyDescent="0.35">
      <c r="A123" s="759" t="s">
        <v>479</v>
      </c>
      <c r="B123" s="759"/>
      <c r="C123" s="759"/>
      <c r="D123" s="759"/>
      <c r="E123" s="759"/>
      <c r="F123" s="759"/>
      <c r="G123" s="759"/>
      <c r="H123" s="759"/>
      <c r="I123" s="759"/>
      <c r="J123" s="759"/>
      <c r="K123" s="33"/>
      <c r="L123" s="473"/>
      <c r="M123" s="473"/>
      <c r="N123" s="33"/>
      <c r="O123" s="473"/>
      <c r="P123" s="473"/>
      <c r="Q123" s="473"/>
      <c r="R123" s="473"/>
      <c r="S123" s="473"/>
      <c r="T123" s="473"/>
      <c r="U123" s="473"/>
      <c r="V123" s="473"/>
      <c r="W123" s="473"/>
      <c r="X123" s="473"/>
      <c r="Y123" s="473"/>
    </row>
    <row r="124" spans="1:25" x14ac:dyDescent="0.35">
      <c r="A124" s="760" t="s">
        <v>480</v>
      </c>
      <c r="B124" s="760"/>
      <c r="C124" s="760"/>
      <c r="D124" s="760"/>
      <c r="E124" s="760"/>
      <c r="F124" s="760"/>
      <c r="G124" s="760"/>
      <c r="H124" s="760"/>
      <c r="I124" s="760"/>
      <c r="J124" s="760"/>
      <c r="K124" s="34"/>
      <c r="L124" s="473"/>
      <c r="M124" s="473"/>
      <c r="N124" s="34"/>
      <c r="O124" s="473"/>
      <c r="P124" s="473"/>
      <c r="Q124" s="473"/>
      <c r="R124" s="473"/>
      <c r="S124" s="473"/>
      <c r="T124" s="473"/>
      <c r="U124" s="473"/>
      <c r="V124" s="473"/>
      <c r="W124" s="473"/>
      <c r="X124" s="473"/>
      <c r="Y124" s="473"/>
    </row>
    <row r="125" spans="1:25" x14ac:dyDescent="0.35">
      <c r="A125" s="35" t="s">
        <v>436</v>
      </c>
      <c r="B125" s="36" t="s">
        <v>373</v>
      </c>
      <c r="C125" s="46">
        <f>C101</f>
        <v>1100</v>
      </c>
      <c r="D125" s="38" t="s">
        <v>243</v>
      </c>
      <c r="E125" s="35" t="s">
        <v>437</v>
      </c>
      <c r="F125" s="38">
        <v>30</v>
      </c>
      <c r="G125" s="38" t="s">
        <v>438</v>
      </c>
      <c r="H125" s="35"/>
      <c r="I125" s="35"/>
      <c r="J125" s="35"/>
      <c r="K125" s="473"/>
      <c r="L125" s="473"/>
      <c r="M125" s="473"/>
      <c r="N125" s="473"/>
      <c r="O125" s="473"/>
      <c r="P125" s="473"/>
      <c r="Q125" s="473"/>
      <c r="R125" s="473"/>
      <c r="S125" s="473"/>
      <c r="T125" s="473"/>
      <c r="U125" s="473"/>
      <c r="V125" s="473"/>
      <c r="W125" s="473"/>
      <c r="X125" s="473"/>
      <c r="Y125" s="473"/>
    </row>
    <row r="126" spans="1:25" x14ac:dyDescent="0.35">
      <c r="A126" s="35"/>
      <c r="B126" s="35"/>
      <c r="C126" s="35">
        <v>1</v>
      </c>
      <c r="D126" s="35" t="s">
        <v>438</v>
      </c>
      <c r="E126" s="35"/>
      <c r="F126" s="35"/>
      <c r="G126" s="35"/>
      <c r="H126" s="35"/>
      <c r="I126" s="35"/>
      <c r="J126" s="35"/>
      <c r="K126" s="473"/>
      <c r="L126" s="473"/>
      <c r="M126" s="473"/>
      <c r="N126" s="473"/>
      <c r="O126" s="473"/>
      <c r="P126" s="473"/>
      <c r="Q126" s="473"/>
      <c r="R126" s="473"/>
      <c r="S126" s="473"/>
      <c r="T126" s="473"/>
      <c r="U126" s="473"/>
      <c r="V126" s="473"/>
      <c r="W126" s="473"/>
      <c r="X126" s="473"/>
      <c r="Y126" s="473"/>
    </row>
    <row r="127" spans="1:25" x14ac:dyDescent="0.35">
      <c r="A127" s="40"/>
      <c r="B127" s="474" t="s">
        <v>373</v>
      </c>
      <c r="C127" s="41">
        <f>C125*F125</f>
        <v>33000</v>
      </c>
      <c r="D127" s="42" t="s">
        <v>243</v>
      </c>
      <c r="E127" s="40"/>
      <c r="F127" s="40"/>
      <c r="G127" s="40"/>
      <c r="H127" s="40"/>
      <c r="I127" s="40"/>
      <c r="J127" s="40"/>
      <c r="K127" s="473"/>
      <c r="L127" s="473"/>
      <c r="M127" s="473"/>
      <c r="N127" s="473"/>
      <c r="O127" s="473"/>
      <c r="P127" s="473"/>
      <c r="Q127" s="473"/>
      <c r="R127" s="473"/>
      <c r="S127" s="473"/>
      <c r="T127" s="473"/>
      <c r="U127" s="473"/>
      <c r="V127" s="473"/>
      <c r="W127" s="473"/>
      <c r="X127" s="473"/>
      <c r="Y127" s="473"/>
    </row>
    <row r="128" spans="1:25" x14ac:dyDescent="0.35">
      <c r="A128" s="40"/>
      <c r="B128" s="474"/>
      <c r="C128" s="41"/>
      <c r="D128" s="42"/>
      <c r="E128" s="40"/>
      <c r="F128" s="40"/>
      <c r="G128" s="40"/>
      <c r="H128" s="40"/>
      <c r="I128" s="40"/>
      <c r="J128" s="40"/>
      <c r="K128" s="473"/>
      <c r="L128" s="473"/>
      <c r="M128" s="473"/>
      <c r="N128" s="473"/>
      <c r="O128" s="473"/>
      <c r="P128" s="473"/>
      <c r="Q128" s="473"/>
      <c r="R128" s="473"/>
      <c r="S128" s="473"/>
      <c r="T128" s="473"/>
      <c r="U128" s="473"/>
      <c r="V128" s="473"/>
      <c r="W128" s="473"/>
      <c r="X128" s="473"/>
      <c r="Y128" s="473"/>
    </row>
    <row r="129" spans="1:25" x14ac:dyDescent="0.35">
      <c r="A129" s="40"/>
      <c r="B129" s="36" t="s">
        <v>373</v>
      </c>
      <c r="C129" s="37">
        <f>C127</f>
        <v>33000</v>
      </c>
      <c r="D129" s="38" t="s">
        <v>243</v>
      </c>
      <c r="E129" s="35" t="s">
        <v>437</v>
      </c>
      <c r="F129" s="38">
        <v>1.1000000000000001</v>
      </c>
      <c r="G129" s="38" t="s">
        <v>442</v>
      </c>
      <c r="H129" s="40"/>
      <c r="I129" s="40"/>
      <c r="J129" s="40"/>
      <c r="K129" s="473"/>
      <c r="L129" s="473"/>
      <c r="M129" s="473"/>
      <c r="N129" s="473"/>
      <c r="O129" s="473"/>
      <c r="P129" s="473"/>
      <c r="Q129" s="473"/>
      <c r="R129" s="473"/>
      <c r="S129" s="473"/>
      <c r="T129" s="473"/>
      <c r="U129" s="473"/>
      <c r="V129" s="473"/>
      <c r="W129" s="473"/>
      <c r="X129" s="473"/>
      <c r="Y129" s="473"/>
    </row>
    <row r="130" spans="1:25" x14ac:dyDescent="0.35">
      <c r="A130" s="40"/>
      <c r="B130" s="35"/>
      <c r="C130" s="35">
        <v>1</v>
      </c>
      <c r="D130" s="35" t="s">
        <v>438</v>
      </c>
      <c r="E130" s="35"/>
      <c r="F130" s="35"/>
      <c r="G130" s="35"/>
      <c r="H130" s="40"/>
      <c r="I130" s="40"/>
      <c r="J130" s="40"/>
      <c r="K130" s="473"/>
      <c r="L130" s="473"/>
      <c r="M130" s="473"/>
      <c r="N130" s="473"/>
      <c r="O130" s="473"/>
      <c r="P130" s="473"/>
      <c r="Q130" s="473"/>
      <c r="R130" s="473"/>
      <c r="S130" s="473"/>
      <c r="T130" s="473"/>
      <c r="U130" s="473"/>
      <c r="V130" s="473"/>
      <c r="W130" s="473"/>
      <c r="X130" s="473"/>
      <c r="Y130" s="473"/>
    </row>
    <row r="131" spans="1:25" x14ac:dyDescent="0.35">
      <c r="A131" s="40"/>
      <c r="B131" s="474" t="s">
        <v>373</v>
      </c>
      <c r="C131" s="41">
        <f>ROUNDUP(C129*F129,-3)</f>
        <v>37000</v>
      </c>
      <c r="D131" s="42" t="s">
        <v>243</v>
      </c>
      <c r="E131" s="40"/>
      <c r="F131" s="40"/>
      <c r="G131" s="40"/>
      <c r="H131" s="40"/>
      <c r="I131" s="40"/>
      <c r="J131" s="40"/>
      <c r="K131" s="473"/>
      <c r="L131" s="473"/>
      <c r="M131" s="473"/>
      <c r="N131" s="473"/>
      <c r="O131" s="473"/>
      <c r="P131" s="473"/>
      <c r="Q131" s="473"/>
      <c r="R131" s="473"/>
      <c r="S131" s="473"/>
      <c r="T131" s="473"/>
      <c r="U131" s="473"/>
      <c r="V131" s="473"/>
      <c r="W131" s="473"/>
      <c r="X131" s="473"/>
      <c r="Y131" s="473"/>
    </row>
    <row r="132" spans="1:25" x14ac:dyDescent="0.35">
      <c r="A132" s="40"/>
      <c r="B132" s="474"/>
      <c r="C132" s="41"/>
      <c r="D132" s="42"/>
      <c r="E132" s="40"/>
      <c r="F132" s="40"/>
      <c r="G132" s="40"/>
      <c r="H132" s="40"/>
      <c r="I132" s="40"/>
      <c r="J132" s="40"/>
      <c r="K132" s="473"/>
      <c r="L132" s="473"/>
      <c r="M132" s="473"/>
      <c r="N132" s="473"/>
      <c r="O132" s="473"/>
      <c r="P132" s="473"/>
      <c r="Q132" s="473"/>
      <c r="R132" s="473"/>
      <c r="S132" s="473"/>
      <c r="T132" s="473"/>
      <c r="U132" s="473"/>
      <c r="V132" s="473"/>
      <c r="W132" s="473"/>
      <c r="X132" s="473"/>
      <c r="Y132" s="473"/>
    </row>
    <row r="133" spans="1:25" ht="17" x14ac:dyDescent="0.35">
      <c r="A133" s="469"/>
      <c r="B133" s="471" t="s">
        <v>373</v>
      </c>
      <c r="C133" s="475">
        <f>C131</f>
        <v>37000</v>
      </c>
      <c r="D133" s="476" t="s">
        <v>243</v>
      </c>
      <c r="E133" s="469" t="s">
        <v>437</v>
      </c>
      <c r="F133" s="476">
        <v>1</v>
      </c>
      <c r="G133" s="476" t="s">
        <v>444</v>
      </c>
      <c r="H133" s="469"/>
      <c r="I133" s="469"/>
      <c r="J133" s="469"/>
      <c r="K133" s="469"/>
      <c r="L133" s="469"/>
      <c r="M133" s="469"/>
      <c r="N133" s="469"/>
      <c r="O133" s="469"/>
      <c r="P133" s="469"/>
      <c r="Q133" s="469"/>
      <c r="R133" s="469"/>
      <c r="S133" s="469"/>
      <c r="T133" s="469"/>
      <c r="U133" s="469"/>
      <c r="V133" s="469"/>
      <c r="W133" s="469"/>
      <c r="X133" s="469"/>
      <c r="Y133" s="469"/>
    </row>
    <row r="134" spans="1:25" x14ac:dyDescent="0.35">
      <c r="A134" s="469"/>
      <c r="B134" s="471"/>
      <c r="C134" s="26"/>
      <c r="D134" s="27"/>
      <c r="E134" s="469"/>
      <c r="F134" s="477">
        <v>7.4809999999999999</v>
      </c>
      <c r="G134" s="469" t="s">
        <v>243</v>
      </c>
      <c r="H134" s="469"/>
      <c r="I134" s="469"/>
      <c r="J134" s="469"/>
      <c r="K134" s="469"/>
      <c r="L134" s="469"/>
      <c r="M134" s="469"/>
      <c r="N134" s="469"/>
      <c r="O134" s="469"/>
      <c r="P134" s="469"/>
      <c r="Q134" s="469"/>
      <c r="R134" s="469"/>
      <c r="S134" s="469"/>
      <c r="T134" s="469"/>
      <c r="U134" s="469"/>
      <c r="V134" s="469"/>
      <c r="W134" s="469"/>
      <c r="X134" s="469"/>
      <c r="Y134" s="469"/>
    </row>
    <row r="135" spans="1:25" ht="16.5" x14ac:dyDescent="0.35">
      <c r="A135" s="469"/>
      <c r="B135" s="471" t="s">
        <v>373</v>
      </c>
      <c r="C135" s="26">
        <f>C133/F134</f>
        <v>4945.8628525598178</v>
      </c>
      <c r="D135" s="27" t="s">
        <v>445</v>
      </c>
      <c r="E135" s="469"/>
      <c r="F135" s="469"/>
      <c r="G135" s="469"/>
      <c r="H135" s="469"/>
      <c r="I135" s="469"/>
      <c r="J135" s="469"/>
      <c r="K135" s="469"/>
      <c r="L135" s="469"/>
      <c r="M135" s="469"/>
      <c r="N135" s="469"/>
      <c r="O135" s="469"/>
      <c r="P135" s="469"/>
      <c r="Q135" s="469"/>
      <c r="R135" s="469"/>
      <c r="S135" s="469"/>
      <c r="T135" s="469"/>
      <c r="U135" s="469"/>
      <c r="V135" s="469"/>
      <c r="W135" s="469"/>
      <c r="X135" s="469"/>
      <c r="Y135" s="469"/>
    </row>
    <row r="136" spans="1:25" x14ac:dyDescent="0.35">
      <c r="A136" s="469"/>
      <c r="B136" s="471"/>
      <c r="C136" s="26"/>
      <c r="D136" s="27"/>
      <c r="E136" s="469"/>
      <c r="F136" s="469"/>
      <c r="G136" s="469"/>
      <c r="H136" s="469"/>
      <c r="I136" s="469"/>
      <c r="J136" s="469"/>
      <c r="K136" s="469"/>
      <c r="L136" s="469"/>
      <c r="M136" s="469"/>
      <c r="N136" s="469"/>
      <c r="O136" s="469"/>
      <c r="P136" s="469"/>
      <c r="Q136" s="469"/>
      <c r="R136" s="469"/>
      <c r="S136" s="469"/>
      <c r="T136" s="469"/>
      <c r="U136" s="469"/>
      <c r="V136" s="469"/>
      <c r="W136" s="469"/>
      <c r="X136" s="469"/>
      <c r="Y136" s="469"/>
    </row>
    <row r="137" spans="1:25" x14ac:dyDescent="0.35">
      <c r="A137" s="469" t="s">
        <v>446</v>
      </c>
      <c r="B137" s="471" t="s">
        <v>373</v>
      </c>
      <c r="C137" s="309">
        <v>20</v>
      </c>
      <c r="D137" s="310" t="s">
        <v>185</v>
      </c>
      <c r="E137" s="469"/>
      <c r="F137" s="469"/>
      <c r="G137" s="469"/>
      <c r="H137" s="469"/>
      <c r="I137" s="469"/>
      <c r="J137" s="469"/>
      <c r="K137" s="469"/>
      <c r="L137" s="469"/>
      <c r="M137" s="469"/>
      <c r="N137" s="469"/>
      <c r="O137" s="469"/>
      <c r="P137" s="469"/>
      <c r="Q137" s="469"/>
      <c r="R137" s="469"/>
      <c r="S137" s="469"/>
      <c r="T137" s="469"/>
      <c r="U137" s="469"/>
      <c r="V137" s="469"/>
      <c r="W137" s="469"/>
      <c r="X137" s="469"/>
      <c r="Y137" s="469"/>
    </row>
    <row r="138" spans="1:25" x14ac:dyDescent="0.35">
      <c r="A138" s="469"/>
      <c r="B138" s="471"/>
      <c r="C138" s="26"/>
      <c r="D138" s="27"/>
      <c r="E138" s="469"/>
      <c r="F138" s="469"/>
      <c r="G138" s="469"/>
      <c r="H138" s="469"/>
      <c r="I138" s="469"/>
      <c r="J138" s="469"/>
      <c r="K138" s="469"/>
      <c r="L138" s="469"/>
      <c r="M138" s="469"/>
      <c r="N138" s="469"/>
      <c r="O138" s="469"/>
      <c r="P138" s="469"/>
      <c r="Q138" s="469"/>
      <c r="R138" s="469"/>
      <c r="S138" s="469"/>
      <c r="T138" s="469"/>
      <c r="U138" s="469"/>
      <c r="V138" s="469"/>
      <c r="W138" s="469"/>
      <c r="X138" s="469"/>
      <c r="Y138" s="469"/>
    </row>
    <row r="139" spans="1:25" ht="17" x14ac:dyDescent="0.35">
      <c r="A139" s="469" t="s">
        <v>447</v>
      </c>
      <c r="B139" s="43" t="s">
        <v>373</v>
      </c>
      <c r="C139" s="478">
        <f>C135</f>
        <v>4945.8628525598178</v>
      </c>
      <c r="D139" s="476" t="s">
        <v>444</v>
      </c>
      <c r="E139" s="469" t="s">
        <v>437</v>
      </c>
      <c r="F139" s="479">
        <v>4</v>
      </c>
      <c r="G139" s="44">
        <v>0.5</v>
      </c>
      <c r="H139" s="469"/>
      <c r="I139" s="469"/>
      <c r="J139" s="469"/>
      <c r="K139" s="469"/>
      <c r="L139" s="469"/>
      <c r="M139" s="469"/>
      <c r="N139" s="469"/>
      <c r="O139" s="469"/>
      <c r="P139" s="469"/>
      <c r="Q139" s="469"/>
      <c r="R139" s="469"/>
      <c r="S139" s="469"/>
      <c r="T139" s="469"/>
      <c r="U139" s="469"/>
      <c r="V139" s="469"/>
      <c r="W139" s="469"/>
      <c r="X139" s="469"/>
      <c r="Y139" s="469"/>
    </row>
    <row r="140" spans="1:25" x14ac:dyDescent="0.35">
      <c r="A140" s="469"/>
      <c r="B140" s="469"/>
      <c r="C140" s="480">
        <f>C137</f>
        <v>20</v>
      </c>
      <c r="D140" s="469" t="s">
        <v>185</v>
      </c>
      <c r="E140" s="469"/>
      <c r="F140" s="481" t="s">
        <v>448</v>
      </c>
      <c r="G140" s="469"/>
      <c r="H140" s="469"/>
      <c r="I140" s="469"/>
      <c r="J140" s="469"/>
      <c r="K140" s="469"/>
      <c r="L140" s="469"/>
      <c r="M140" s="469"/>
      <c r="N140" s="469"/>
      <c r="O140" s="469"/>
      <c r="P140" s="469"/>
      <c r="Q140" s="469"/>
      <c r="R140" s="469"/>
      <c r="S140" s="469"/>
      <c r="T140" s="469"/>
      <c r="U140" s="469"/>
      <c r="V140" s="469"/>
      <c r="W140" s="469"/>
      <c r="X140" s="469"/>
      <c r="Y140" s="469"/>
    </row>
    <row r="141" spans="1:25" x14ac:dyDescent="0.35">
      <c r="A141" s="469"/>
      <c r="B141" s="43" t="s">
        <v>373</v>
      </c>
      <c r="C141" s="45">
        <f>ROUNDUP(SQRT(C139/C140*F139/PI()),-0.5)</f>
        <v>18</v>
      </c>
      <c r="D141" s="27" t="s">
        <v>185</v>
      </c>
      <c r="E141" s="469"/>
      <c r="F141" s="469"/>
      <c r="G141" s="469"/>
      <c r="H141" s="469"/>
      <c r="I141" s="469"/>
      <c r="J141" s="469"/>
      <c r="K141" s="469"/>
      <c r="L141" s="469"/>
      <c r="M141" s="469"/>
      <c r="N141" s="469"/>
      <c r="O141" s="469"/>
      <c r="P141" s="469"/>
      <c r="Q141" s="469"/>
      <c r="R141" s="469"/>
      <c r="S141" s="469"/>
      <c r="T141" s="469"/>
      <c r="U141" s="469"/>
      <c r="V141" s="469"/>
      <c r="W141" s="469"/>
      <c r="X141" s="469"/>
      <c r="Y141" s="469"/>
    </row>
    <row r="142" spans="1:25" x14ac:dyDescent="0.35">
      <c r="A142" s="473"/>
      <c r="B142" s="473"/>
      <c r="C142" s="473"/>
      <c r="D142" s="473"/>
      <c r="E142" s="473"/>
      <c r="F142" s="473"/>
      <c r="G142" s="473"/>
      <c r="H142" s="473"/>
      <c r="I142" s="473"/>
      <c r="J142" s="473"/>
      <c r="K142" s="473"/>
      <c r="L142" s="473"/>
      <c r="M142" s="473"/>
      <c r="N142" s="473"/>
      <c r="O142" s="473"/>
      <c r="P142" s="473"/>
      <c r="Q142" s="473"/>
      <c r="R142" s="469"/>
      <c r="S142" s="469"/>
      <c r="T142" s="469"/>
      <c r="U142" s="469"/>
      <c r="V142" s="469"/>
      <c r="W142" s="469"/>
      <c r="X142" s="469"/>
      <c r="Y142" s="469"/>
    </row>
    <row r="143" spans="1:25" ht="15.5" x14ac:dyDescent="0.35">
      <c r="A143" s="759" t="s">
        <v>481</v>
      </c>
      <c r="B143" s="759"/>
      <c r="C143" s="759"/>
      <c r="D143" s="759"/>
      <c r="E143" s="759"/>
      <c r="F143" s="759"/>
      <c r="G143" s="759"/>
      <c r="H143" s="759"/>
      <c r="I143" s="759"/>
      <c r="J143" s="759"/>
      <c r="K143" s="33"/>
      <c r="L143" s="473"/>
      <c r="M143" s="473"/>
      <c r="N143" s="33"/>
      <c r="O143" s="473"/>
      <c r="P143" s="473"/>
      <c r="Q143" s="473"/>
      <c r="R143" s="473"/>
      <c r="S143" s="473"/>
      <c r="T143" s="473"/>
      <c r="U143" s="473"/>
      <c r="V143" s="473"/>
      <c r="W143" s="473"/>
      <c r="X143" s="473"/>
      <c r="Y143" s="473"/>
    </row>
    <row r="144" spans="1:25" x14ac:dyDescent="0.35">
      <c r="A144" s="760" t="s">
        <v>482</v>
      </c>
      <c r="B144" s="760"/>
      <c r="C144" s="760"/>
      <c r="D144" s="760"/>
      <c r="E144" s="760"/>
      <c r="F144" s="760"/>
      <c r="G144" s="760"/>
      <c r="H144" s="760"/>
      <c r="I144" s="760"/>
      <c r="J144" s="760"/>
      <c r="K144" s="34"/>
      <c r="L144" s="473"/>
      <c r="M144" s="473"/>
      <c r="N144" s="34"/>
      <c r="O144" s="473"/>
      <c r="P144" s="473"/>
      <c r="Q144" s="473"/>
      <c r="R144" s="473"/>
      <c r="S144" s="473"/>
      <c r="T144" s="473"/>
      <c r="U144" s="473"/>
      <c r="V144" s="473"/>
      <c r="W144" s="473"/>
      <c r="X144" s="473"/>
      <c r="Y144" s="473"/>
    </row>
    <row r="145" spans="1:25" x14ac:dyDescent="0.35">
      <c r="A145" s="473" t="s">
        <v>483</v>
      </c>
      <c r="B145" s="36" t="s">
        <v>373</v>
      </c>
      <c r="C145" s="487">
        <v>21000</v>
      </c>
      <c r="D145" s="488" t="s">
        <v>484</v>
      </c>
      <c r="E145" s="473" t="s">
        <v>437</v>
      </c>
      <c r="F145" s="487">
        <v>1</v>
      </c>
      <c r="G145" s="488" t="s">
        <v>485</v>
      </c>
      <c r="H145" s="473"/>
      <c r="I145" s="473"/>
      <c r="J145" s="473"/>
      <c r="K145" s="473"/>
      <c r="L145" s="473"/>
      <c r="M145" s="473"/>
      <c r="N145" s="473"/>
      <c r="O145" s="473"/>
      <c r="P145" s="473"/>
      <c r="Q145" s="473"/>
      <c r="R145" s="473"/>
      <c r="S145" s="473"/>
      <c r="T145" s="473"/>
      <c r="U145" s="473"/>
      <c r="V145" s="473"/>
      <c r="W145" s="473"/>
      <c r="X145" s="473"/>
      <c r="Y145" s="473"/>
    </row>
    <row r="146" spans="1:25" ht="16" x14ac:dyDescent="0.4">
      <c r="A146" s="53" t="s">
        <v>486</v>
      </c>
      <c r="B146" s="35"/>
      <c r="C146" s="489">
        <v>1</v>
      </c>
      <c r="D146" s="473" t="s">
        <v>485</v>
      </c>
      <c r="E146" s="40"/>
      <c r="F146" s="482">
        <v>10040</v>
      </c>
      <c r="G146" s="473" t="s">
        <v>487</v>
      </c>
      <c r="H146" s="473"/>
      <c r="I146" s="473"/>
      <c r="J146" s="473"/>
      <c r="K146" s="473"/>
      <c r="L146" s="473"/>
      <c r="M146" s="473"/>
      <c r="N146" s="473"/>
      <c r="O146" s="473"/>
      <c r="P146" s="473"/>
      <c r="Q146" s="473"/>
      <c r="R146" s="473"/>
      <c r="S146" s="473"/>
      <c r="T146" s="473"/>
      <c r="U146" s="473"/>
      <c r="V146" s="473"/>
      <c r="W146" s="473"/>
      <c r="X146" s="473"/>
      <c r="Y146" s="473"/>
    </row>
    <row r="147" spans="1:25" x14ac:dyDescent="0.35">
      <c r="A147" s="54" t="s">
        <v>488</v>
      </c>
      <c r="B147" s="36" t="s">
        <v>373</v>
      </c>
      <c r="C147" s="55">
        <f>C145/F146</f>
        <v>2.0916334661354581</v>
      </c>
      <c r="D147" s="42" t="s">
        <v>414</v>
      </c>
      <c r="E147" s="40"/>
      <c r="F147" s="40"/>
      <c r="G147" s="40"/>
      <c r="H147" s="473"/>
      <c r="I147" s="473"/>
      <c r="J147" s="473"/>
      <c r="K147" s="473"/>
      <c r="L147" s="473"/>
      <c r="M147" s="473"/>
      <c r="N147" s="473"/>
      <c r="O147" s="473"/>
      <c r="P147" s="473"/>
      <c r="Q147" s="473"/>
      <c r="R147" s="473"/>
      <c r="S147" s="473"/>
      <c r="T147" s="473"/>
      <c r="U147" s="473"/>
      <c r="V147" s="473"/>
      <c r="W147" s="473"/>
      <c r="X147" s="473"/>
      <c r="Y147" s="473"/>
    </row>
    <row r="148" spans="1:25" x14ac:dyDescent="0.35">
      <c r="A148" s="40"/>
      <c r="B148" s="473"/>
      <c r="C148" s="473"/>
      <c r="D148" s="473"/>
      <c r="E148" s="473"/>
      <c r="F148" s="473"/>
      <c r="G148" s="473"/>
      <c r="H148" s="40"/>
      <c r="I148" s="40"/>
      <c r="J148" s="40"/>
      <c r="K148" s="40"/>
      <c r="L148" s="40"/>
      <c r="M148" s="40"/>
      <c r="N148" s="40"/>
      <c r="O148" s="40"/>
      <c r="P148" s="40"/>
      <c r="Q148" s="473"/>
      <c r="R148" s="473"/>
      <c r="S148" s="473"/>
      <c r="T148" s="473"/>
      <c r="U148" s="473"/>
      <c r="V148" s="473"/>
      <c r="W148" s="473"/>
      <c r="X148" s="473"/>
      <c r="Y148" s="473"/>
    </row>
    <row r="149" spans="1:25" ht="16" x14ac:dyDescent="0.4">
      <c r="A149" s="473" t="s">
        <v>489</v>
      </c>
      <c r="B149" s="36" t="s">
        <v>373</v>
      </c>
      <c r="C149" s="487">
        <f>C15</f>
        <v>2788.1492617051895</v>
      </c>
      <c r="D149" s="488" t="s">
        <v>487</v>
      </c>
      <c r="E149" s="473" t="s">
        <v>437</v>
      </c>
      <c r="F149" s="490">
        <v>2.0916334661354581</v>
      </c>
      <c r="G149" s="488" t="s">
        <v>490</v>
      </c>
      <c r="H149" s="40"/>
      <c r="I149" s="40"/>
      <c r="J149" s="40"/>
      <c r="K149" s="40"/>
      <c r="L149" s="40"/>
      <c r="M149" s="40"/>
      <c r="N149" s="40"/>
      <c r="O149" s="40"/>
      <c r="P149" s="40"/>
      <c r="Q149" s="473"/>
      <c r="R149" s="473"/>
      <c r="S149" s="473"/>
      <c r="T149" s="473"/>
      <c r="U149" s="473"/>
      <c r="V149" s="473"/>
      <c r="W149" s="473"/>
      <c r="X149" s="473"/>
      <c r="Y149" s="473"/>
    </row>
    <row r="150" spans="1:25" ht="16" x14ac:dyDescent="0.4">
      <c r="A150" s="40"/>
      <c r="B150" s="35"/>
      <c r="C150" s="489">
        <v>1</v>
      </c>
      <c r="D150" s="473" t="s">
        <v>485</v>
      </c>
      <c r="E150" s="40"/>
      <c r="F150" s="473">
        <v>1</v>
      </c>
      <c r="G150" s="473" t="s">
        <v>491</v>
      </c>
      <c r="H150" s="40"/>
      <c r="I150" s="40"/>
      <c r="J150" s="40"/>
      <c r="K150" s="40"/>
      <c r="L150" s="40"/>
      <c r="M150" s="40"/>
      <c r="N150" s="40"/>
      <c r="O150" s="40"/>
      <c r="P150" s="40"/>
      <c r="Q150" s="473"/>
      <c r="R150" s="473"/>
      <c r="S150" s="473"/>
      <c r="T150" s="473"/>
      <c r="U150" s="473"/>
      <c r="V150" s="473"/>
      <c r="W150" s="473"/>
      <c r="X150" s="473"/>
      <c r="Y150" s="473"/>
    </row>
    <row r="151" spans="1:25" x14ac:dyDescent="0.35">
      <c r="A151" s="40"/>
      <c r="B151" s="36" t="s">
        <v>373</v>
      </c>
      <c r="C151" s="41">
        <f>C149*F149</f>
        <v>5831.7863043634443</v>
      </c>
      <c r="D151" s="42" t="s">
        <v>414</v>
      </c>
      <c r="E151" s="40"/>
      <c r="F151" s="40"/>
      <c r="G151" s="40"/>
      <c r="H151" s="40"/>
      <c r="I151" s="40"/>
      <c r="J151" s="40"/>
      <c r="K151" s="40"/>
      <c r="L151" s="40"/>
      <c r="M151" s="40"/>
      <c r="N151" s="40"/>
      <c r="O151" s="40"/>
      <c r="P151" s="40"/>
      <c r="Q151" s="473"/>
      <c r="R151" s="473"/>
      <c r="S151" s="473"/>
      <c r="T151" s="473"/>
      <c r="U151" s="473"/>
      <c r="V151" s="473"/>
      <c r="W151" s="473"/>
      <c r="X151" s="473"/>
      <c r="Y151" s="473"/>
    </row>
    <row r="152" spans="1:25" x14ac:dyDescent="0.35">
      <c r="A152" s="40"/>
      <c r="B152" s="36"/>
      <c r="C152" s="41"/>
      <c r="D152" s="42"/>
      <c r="E152" s="40"/>
      <c r="F152" s="40"/>
      <c r="G152" s="40"/>
      <c r="H152" s="40"/>
      <c r="I152" s="40"/>
      <c r="J152" s="40"/>
      <c r="K152" s="40"/>
      <c r="L152" s="40"/>
      <c r="M152" s="40"/>
      <c r="N152" s="40"/>
      <c r="O152" s="40"/>
      <c r="P152" s="40"/>
      <c r="Q152" s="473"/>
      <c r="R152" s="473"/>
      <c r="S152" s="473"/>
      <c r="T152" s="473"/>
      <c r="U152" s="473"/>
      <c r="V152" s="473"/>
      <c r="W152" s="473"/>
      <c r="X152" s="473"/>
      <c r="Y152" s="473"/>
    </row>
    <row r="153" spans="1:25" x14ac:dyDescent="0.35">
      <c r="A153" s="35" t="s">
        <v>492</v>
      </c>
      <c r="B153" s="36" t="s">
        <v>373</v>
      </c>
      <c r="C153" s="46">
        <f>C151</f>
        <v>5831.7863043634443</v>
      </c>
      <c r="D153" s="38" t="s">
        <v>493</v>
      </c>
      <c r="E153" s="35" t="s">
        <v>437</v>
      </c>
      <c r="F153" s="56">
        <f>C13-C98</f>
        <v>1448</v>
      </c>
      <c r="G153" s="38" t="s">
        <v>243</v>
      </c>
      <c r="H153" s="35" t="s">
        <v>437</v>
      </c>
      <c r="I153" s="57">
        <v>3.7850000000000001</v>
      </c>
      <c r="J153" s="38" t="s">
        <v>485</v>
      </c>
      <c r="K153" s="35" t="s">
        <v>437</v>
      </c>
      <c r="L153" s="56">
        <v>1440</v>
      </c>
      <c r="M153" s="38" t="s">
        <v>438</v>
      </c>
      <c r="N153" s="35" t="s">
        <v>437</v>
      </c>
      <c r="O153" s="56">
        <v>1</v>
      </c>
      <c r="P153" s="38" t="s">
        <v>469</v>
      </c>
      <c r="Q153" s="473"/>
      <c r="R153" s="473"/>
      <c r="S153" s="473"/>
      <c r="T153" s="473"/>
      <c r="U153" s="473"/>
      <c r="V153" s="473"/>
      <c r="W153" s="473"/>
      <c r="X153" s="473"/>
      <c r="Y153" s="473"/>
    </row>
    <row r="154" spans="1:25" x14ac:dyDescent="0.35">
      <c r="A154" s="35"/>
      <c r="B154" s="35"/>
      <c r="C154" s="58">
        <v>1</v>
      </c>
      <c r="D154" s="35" t="s">
        <v>485</v>
      </c>
      <c r="E154" s="35"/>
      <c r="F154" s="35">
        <v>1</v>
      </c>
      <c r="G154" s="35" t="s">
        <v>438</v>
      </c>
      <c r="H154" s="35"/>
      <c r="I154" s="35">
        <v>1</v>
      </c>
      <c r="J154" s="35" t="s">
        <v>243</v>
      </c>
      <c r="K154" s="35"/>
      <c r="L154" s="35">
        <v>1</v>
      </c>
      <c r="M154" s="35" t="s">
        <v>202</v>
      </c>
      <c r="N154" s="35"/>
      <c r="O154" s="49">
        <v>454000</v>
      </c>
      <c r="P154" s="35" t="s">
        <v>493</v>
      </c>
      <c r="Q154" s="473"/>
      <c r="R154" s="473"/>
      <c r="S154" s="473"/>
      <c r="T154" s="473"/>
      <c r="U154" s="473"/>
      <c r="V154" s="473"/>
      <c r="W154" s="473"/>
      <c r="X154" s="473"/>
      <c r="Y154" s="473"/>
    </row>
    <row r="155" spans="1:25" x14ac:dyDescent="0.35">
      <c r="A155" s="40"/>
      <c r="B155" s="474" t="s">
        <v>373</v>
      </c>
      <c r="C155" s="41">
        <f>C153*F153*I153*L153/O154</f>
        <v>101377.75896507059</v>
      </c>
      <c r="D155" s="42" t="s">
        <v>418</v>
      </c>
      <c r="E155" s="40"/>
      <c r="F155" s="40"/>
      <c r="G155" s="40"/>
      <c r="H155" s="40"/>
      <c r="I155" s="40"/>
      <c r="J155" s="40"/>
      <c r="K155" s="473"/>
      <c r="L155" s="473"/>
      <c r="M155" s="473"/>
      <c r="N155" s="473"/>
      <c r="O155" s="473"/>
      <c r="P155" s="473"/>
      <c r="Q155" s="473"/>
      <c r="R155" s="473"/>
      <c r="S155" s="473"/>
      <c r="T155" s="473"/>
      <c r="U155" s="473"/>
      <c r="V155" s="473"/>
      <c r="W155" s="473"/>
      <c r="X155" s="473"/>
      <c r="Y155" s="473"/>
    </row>
    <row r="156" spans="1:25" x14ac:dyDescent="0.35">
      <c r="A156"/>
      <c r="B156" s="43"/>
      <c r="C156" s="45"/>
      <c r="D156" s="27"/>
      <c r="E156"/>
      <c r="F156"/>
      <c r="G156"/>
      <c r="H156"/>
      <c r="I156"/>
      <c r="J156"/>
      <c r="K156"/>
      <c r="L156"/>
      <c r="M156"/>
      <c r="N156"/>
      <c r="O156"/>
      <c r="P156"/>
      <c r="Q156" s="473"/>
      <c r="R156" s="473"/>
      <c r="S156" s="473"/>
      <c r="T156" s="473"/>
      <c r="U156" s="473"/>
      <c r="V156" s="473"/>
      <c r="W156" s="473"/>
      <c r="X156" s="473"/>
      <c r="Y156" s="473"/>
    </row>
    <row r="157" spans="1:25" x14ac:dyDescent="0.35">
      <c r="A157" s="473" t="s">
        <v>494</v>
      </c>
      <c r="B157" s="36" t="s">
        <v>373</v>
      </c>
      <c r="C157" s="46">
        <f>C155</f>
        <v>101377.75896507059</v>
      </c>
      <c r="D157" s="38" t="s">
        <v>469</v>
      </c>
      <c r="E157" s="35" t="s">
        <v>437</v>
      </c>
      <c r="F157" s="56">
        <v>1</v>
      </c>
      <c r="G157" s="38" t="s">
        <v>495</v>
      </c>
      <c r="H157" s="35"/>
      <c r="I157" s="473"/>
      <c r="J157" s="473"/>
      <c r="K157" s="473"/>
      <c r="L157" s="473"/>
      <c r="M157" s="473"/>
      <c r="N157" s="473"/>
      <c r="O157" s="473"/>
      <c r="P157" s="473"/>
      <c r="Q157" s="473"/>
      <c r="R157" s="473"/>
      <c r="S157" s="473"/>
      <c r="T157" s="473"/>
      <c r="U157" s="473"/>
      <c r="V157" s="473"/>
      <c r="W157" s="473"/>
      <c r="X157" s="473"/>
      <c r="Y157" s="473"/>
    </row>
    <row r="158" spans="1:25" x14ac:dyDescent="0.35">
      <c r="A158" s="53"/>
      <c r="B158" s="36"/>
      <c r="C158" s="58">
        <v>1</v>
      </c>
      <c r="D158" s="35" t="s">
        <v>471</v>
      </c>
      <c r="E158" s="35"/>
      <c r="F158" s="59">
        <v>0.5</v>
      </c>
      <c r="G158" s="35" t="s">
        <v>496</v>
      </c>
      <c r="H158" s="35"/>
      <c r="I158" s="473"/>
      <c r="J158" s="473"/>
      <c r="K158" s="473"/>
      <c r="L158" s="473"/>
      <c r="M158" s="473"/>
      <c r="N158" s="473"/>
      <c r="O158" s="473"/>
      <c r="P158" s="473"/>
      <c r="Q158" s="473"/>
      <c r="R158" s="473"/>
      <c r="S158" s="473"/>
      <c r="T158" s="473"/>
      <c r="U158" s="473"/>
      <c r="V158" s="473"/>
      <c r="W158" s="473"/>
      <c r="X158" s="473"/>
      <c r="Y158" s="473"/>
    </row>
    <row r="159" spans="1:25" x14ac:dyDescent="0.35">
      <c r="A159" s="473"/>
      <c r="B159" s="36"/>
      <c r="C159" s="41">
        <f>C157/F158</f>
        <v>202755.51793014118</v>
      </c>
      <c r="D159" s="42" t="s">
        <v>418</v>
      </c>
      <c r="E159" s="40"/>
      <c r="F159" s="40"/>
      <c r="G159" s="40"/>
      <c r="H159" s="40"/>
      <c r="I159" s="473"/>
      <c r="J159" s="473"/>
      <c r="K159" s="473"/>
      <c r="L159" s="473"/>
      <c r="M159" s="473"/>
      <c r="N159" s="473"/>
      <c r="O159" s="473"/>
      <c r="P159" s="473"/>
      <c r="Q159" s="473"/>
      <c r="R159" s="473"/>
      <c r="S159" s="473"/>
      <c r="T159" s="473"/>
      <c r="U159" s="473"/>
      <c r="V159" s="473"/>
      <c r="W159" s="473"/>
      <c r="X159" s="473"/>
      <c r="Y159" s="473"/>
    </row>
    <row r="160" spans="1:25" x14ac:dyDescent="0.35">
      <c r="A160" s="473"/>
      <c r="B160" s="36"/>
      <c r="C160" s="51"/>
      <c r="D160" s="42"/>
      <c r="E160" s="473"/>
      <c r="F160" s="473"/>
      <c r="G160" s="473"/>
      <c r="H160" s="473"/>
      <c r="I160" s="473"/>
      <c r="J160" s="473"/>
      <c r="K160" s="473"/>
      <c r="L160" s="473"/>
      <c r="M160" s="473"/>
      <c r="N160" s="473"/>
      <c r="O160" s="473"/>
      <c r="P160" s="473"/>
      <c r="Q160" s="473"/>
      <c r="R160" s="473"/>
      <c r="S160" s="473"/>
      <c r="T160" s="473"/>
      <c r="U160" s="473"/>
      <c r="V160" s="473"/>
      <c r="W160" s="473"/>
      <c r="X160" s="473"/>
      <c r="Y160" s="473"/>
    </row>
    <row r="161" spans="1:25" x14ac:dyDescent="0.35">
      <c r="A161" s="473" t="s">
        <v>497</v>
      </c>
      <c r="B161" s="36" t="s">
        <v>373</v>
      </c>
      <c r="C161" s="56">
        <f>C155</f>
        <v>101377.75896507059</v>
      </c>
      <c r="D161" s="38" t="s">
        <v>418</v>
      </c>
      <c r="E161" s="35" t="s">
        <v>437</v>
      </c>
      <c r="F161" s="56">
        <v>1</v>
      </c>
      <c r="G161" s="38" t="s">
        <v>498</v>
      </c>
      <c r="H161" s="473"/>
      <c r="I161" s="473"/>
      <c r="J161" s="473"/>
      <c r="K161" s="473"/>
      <c r="L161" s="473"/>
      <c r="M161" s="473"/>
      <c r="N161" s="473"/>
      <c r="O161" s="473"/>
      <c r="P161" s="473"/>
      <c r="Q161" s="473"/>
      <c r="R161" s="473"/>
      <c r="S161" s="473"/>
      <c r="T161" s="473"/>
      <c r="U161" s="473"/>
      <c r="V161" s="473"/>
      <c r="W161" s="473"/>
      <c r="X161" s="473"/>
      <c r="Y161" s="473"/>
    </row>
    <row r="162" spans="1:25" x14ac:dyDescent="0.35">
      <c r="A162" s="53" t="s">
        <v>499</v>
      </c>
      <c r="B162" s="36"/>
      <c r="C162" s="58">
        <v>1</v>
      </c>
      <c r="D162" s="35" t="s">
        <v>471</v>
      </c>
      <c r="E162" s="35"/>
      <c r="F162" s="59">
        <v>0.25</v>
      </c>
      <c r="G162" s="35" t="s">
        <v>495</v>
      </c>
      <c r="H162" s="473"/>
      <c r="I162" s="473"/>
      <c r="J162" s="473"/>
      <c r="K162" s="473"/>
      <c r="L162" s="473"/>
      <c r="M162" s="473"/>
      <c r="N162" s="473"/>
      <c r="O162" s="473"/>
      <c r="P162" s="473"/>
      <c r="Q162" s="473"/>
      <c r="R162" s="473"/>
      <c r="S162" s="473"/>
      <c r="T162" s="473"/>
      <c r="U162" s="473"/>
      <c r="V162" s="473"/>
      <c r="W162" s="473"/>
      <c r="X162" s="473"/>
      <c r="Y162" s="473"/>
    </row>
    <row r="163" spans="1:25" x14ac:dyDescent="0.35">
      <c r="A163" s="473"/>
      <c r="B163" s="36"/>
      <c r="C163" s="41">
        <f>C161/F162</f>
        <v>405511.03586028237</v>
      </c>
      <c r="D163" s="42" t="s">
        <v>418</v>
      </c>
      <c r="E163" s="40"/>
      <c r="F163" s="40"/>
      <c r="G163" s="40"/>
      <c r="H163" s="473"/>
      <c r="I163" s="473"/>
      <c r="J163" s="473"/>
      <c r="K163" s="473"/>
      <c r="L163" s="473"/>
      <c r="M163" s="473"/>
      <c r="N163" s="473"/>
      <c r="O163" s="473"/>
      <c r="P163" s="473"/>
      <c r="Q163" s="473"/>
      <c r="R163" s="473"/>
      <c r="S163" s="473"/>
      <c r="T163" s="473"/>
      <c r="U163" s="473"/>
      <c r="V163" s="473"/>
      <c r="W163" s="473"/>
      <c r="X163" s="473"/>
      <c r="Y163" s="473"/>
    </row>
    <row r="164" spans="1:25" x14ac:dyDescent="0.35">
      <c r="A164" s="473"/>
      <c r="B164" s="36"/>
      <c r="C164" s="51"/>
      <c r="D164" s="42"/>
      <c r="E164" s="473"/>
      <c r="F164" s="473"/>
      <c r="G164" s="473"/>
      <c r="H164" s="473"/>
      <c r="I164" s="473"/>
      <c r="J164" s="473"/>
      <c r="K164" s="473"/>
      <c r="L164" s="473"/>
      <c r="M164" s="473"/>
      <c r="N164" s="473"/>
      <c r="O164" s="473"/>
      <c r="P164" s="473"/>
      <c r="Q164" s="473"/>
      <c r="R164" s="473"/>
      <c r="S164" s="473"/>
      <c r="T164" s="473"/>
      <c r="U164" s="473"/>
      <c r="V164" s="473"/>
      <c r="W164" s="473"/>
      <c r="X164" s="473"/>
      <c r="Y164" s="473"/>
    </row>
    <row r="165" spans="1:25" x14ac:dyDescent="0.35">
      <c r="A165" s="473" t="s">
        <v>500</v>
      </c>
      <c r="B165" s="36" t="s">
        <v>373</v>
      </c>
      <c r="C165" s="46">
        <f>C163</f>
        <v>405511.03586028237</v>
      </c>
      <c r="D165" s="38" t="s">
        <v>469</v>
      </c>
      <c r="E165" s="35" t="s">
        <v>501</v>
      </c>
      <c r="F165" s="56">
        <f>C159</f>
        <v>202755.51793014118</v>
      </c>
      <c r="G165" s="38" t="s">
        <v>469</v>
      </c>
      <c r="H165" s="473"/>
      <c r="I165" s="473"/>
      <c r="J165" s="473"/>
      <c r="K165" s="473"/>
      <c r="L165" s="473"/>
      <c r="M165" s="473"/>
      <c r="N165" s="473"/>
      <c r="O165" s="473"/>
      <c r="P165" s="473"/>
      <c r="Q165" s="473"/>
      <c r="R165" s="473"/>
      <c r="S165" s="473"/>
      <c r="T165" s="473"/>
      <c r="U165" s="473"/>
      <c r="V165" s="473"/>
      <c r="W165" s="473"/>
      <c r="X165" s="473"/>
      <c r="Y165" s="473"/>
    </row>
    <row r="166" spans="1:25" x14ac:dyDescent="0.35">
      <c r="A166" s="53" t="s">
        <v>502</v>
      </c>
      <c r="B166" s="36"/>
      <c r="C166" s="58">
        <v>1</v>
      </c>
      <c r="D166" s="35" t="s">
        <v>471</v>
      </c>
      <c r="E166" s="35"/>
      <c r="F166" s="58">
        <v>1</v>
      </c>
      <c r="G166" s="35" t="s">
        <v>471</v>
      </c>
      <c r="H166" s="473"/>
      <c r="I166" s="473"/>
      <c r="J166" s="473"/>
      <c r="K166" s="473"/>
      <c r="L166" s="473"/>
      <c r="M166" s="473"/>
      <c r="N166" s="473"/>
      <c r="O166" s="473"/>
      <c r="P166" s="473"/>
      <c r="Q166" s="473"/>
      <c r="R166" s="473"/>
      <c r="S166" s="473"/>
      <c r="T166" s="473"/>
      <c r="U166" s="473"/>
      <c r="V166" s="473"/>
      <c r="W166" s="473"/>
      <c r="X166" s="473"/>
      <c r="Y166" s="473"/>
    </row>
    <row r="167" spans="1:25" x14ac:dyDescent="0.35">
      <c r="A167" s="473"/>
      <c r="B167" s="36"/>
      <c r="C167" s="41">
        <f>C165-F165</f>
        <v>202755.51793014118</v>
      </c>
      <c r="D167" s="42" t="s">
        <v>418</v>
      </c>
      <c r="E167" s="40"/>
      <c r="F167" s="40"/>
      <c r="G167" s="40"/>
      <c r="H167" s="473"/>
      <c r="I167" s="473"/>
      <c r="J167" s="473"/>
      <c r="K167" s="473"/>
      <c r="L167" s="473"/>
      <c r="M167" s="473"/>
      <c r="N167" s="473"/>
      <c r="O167" s="473"/>
      <c r="P167" s="473"/>
      <c r="Q167" s="473"/>
      <c r="R167" s="473"/>
      <c r="S167" s="473"/>
      <c r="T167" s="473"/>
      <c r="U167" s="473"/>
      <c r="V167" s="473"/>
      <c r="W167" s="473"/>
      <c r="X167" s="473"/>
      <c r="Y167" s="473"/>
    </row>
    <row r="168" spans="1:25" x14ac:dyDescent="0.35">
      <c r="A168" s="473"/>
      <c r="B168" s="36"/>
      <c r="C168" s="41"/>
      <c r="D168" s="42"/>
      <c r="E168" s="40"/>
      <c r="F168" s="40"/>
      <c r="G168" s="40"/>
      <c r="H168" s="473"/>
      <c r="I168" s="473"/>
      <c r="J168" s="473"/>
      <c r="K168" s="473"/>
      <c r="L168" s="473"/>
      <c r="M168" s="473"/>
      <c r="N168" s="473"/>
      <c r="O168" s="473"/>
      <c r="P168" s="473"/>
      <c r="Q168" s="473"/>
      <c r="R168" s="473"/>
      <c r="S168" s="473"/>
      <c r="T168" s="473"/>
      <c r="U168" s="473"/>
      <c r="V168" s="473"/>
      <c r="W168" s="473"/>
      <c r="X168" s="473"/>
      <c r="Y168" s="473"/>
    </row>
    <row r="169" spans="1:25" ht="17" x14ac:dyDescent="0.35">
      <c r="A169" s="473"/>
      <c r="B169" s="36" t="s">
        <v>373</v>
      </c>
      <c r="C169" s="46">
        <f>C167</f>
        <v>202755.51793014118</v>
      </c>
      <c r="D169" s="38" t="s">
        <v>469</v>
      </c>
      <c r="E169" s="35" t="s">
        <v>437</v>
      </c>
      <c r="F169" s="56">
        <v>1</v>
      </c>
      <c r="G169" s="38" t="s">
        <v>470</v>
      </c>
      <c r="H169" s="35" t="s">
        <v>437</v>
      </c>
      <c r="I169" s="56">
        <f>C162</f>
        <v>1</v>
      </c>
      <c r="J169" s="38" t="s">
        <v>452</v>
      </c>
      <c r="K169" s="35" t="s">
        <v>437</v>
      </c>
      <c r="L169" s="56">
        <v>1</v>
      </c>
      <c r="M169" s="38" t="s">
        <v>471</v>
      </c>
      <c r="N169" s="35" t="s">
        <v>437</v>
      </c>
      <c r="O169" s="56">
        <v>264.2</v>
      </c>
      <c r="P169" s="38" t="s">
        <v>243</v>
      </c>
      <c r="Q169" s="473"/>
      <c r="R169" s="473"/>
      <c r="S169" s="473"/>
      <c r="T169" s="473"/>
      <c r="U169" s="473"/>
      <c r="V169" s="473"/>
      <c r="W169" s="473"/>
      <c r="X169" s="473"/>
      <c r="Y169" s="473"/>
    </row>
    <row r="170" spans="1:25" ht="17" x14ac:dyDescent="0.35">
      <c r="A170" s="473"/>
      <c r="B170" s="36"/>
      <c r="C170" s="58">
        <v>1</v>
      </c>
      <c r="D170" s="35" t="s">
        <v>471</v>
      </c>
      <c r="E170" s="35"/>
      <c r="F170" s="60">
        <v>2.2000000000000002</v>
      </c>
      <c r="G170" s="35" t="s">
        <v>469</v>
      </c>
      <c r="H170" s="35"/>
      <c r="I170" s="49">
        <v>1000</v>
      </c>
      <c r="J170" s="49" t="s">
        <v>470</v>
      </c>
      <c r="K170" s="49"/>
      <c r="L170" s="49">
        <v>1440</v>
      </c>
      <c r="M170" s="49" t="s">
        <v>438</v>
      </c>
      <c r="N170" s="35"/>
      <c r="O170" s="58">
        <v>1</v>
      </c>
      <c r="P170" s="35" t="s">
        <v>452</v>
      </c>
      <c r="Q170" s="473"/>
      <c r="R170" s="473"/>
      <c r="S170" s="473"/>
      <c r="T170" s="473"/>
      <c r="U170" s="473"/>
      <c r="V170" s="473"/>
      <c r="W170" s="473"/>
      <c r="X170" s="473"/>
      <c r="Y170" s="473"/>
    </row>
    <row r="171" spans="1:25" x14ac:dyDescent="0.35">
      <c r="A171" s="473"/>
      <c r="B171" s="36"/>
      <c r="C171" s="41">
        <f>C169*O169/F170/I170/L170</f>
        <v>16.909093382936646</v>
      </c>
      <c r="D171" s="42" t="s">
        <v>230</v>
      </c>
      <c r="E171" s="40"/>
      <c r="F171" s="40"/>
      <c r="G171" s="40"/>
      <c r="H171" s="473"/>
      <c r="I171" s="473"/>
      <c r="J171" s="473"/>
      <c r="K171" s="473"/>
      <c r="L171" s="473"/>
      <c r="M171" s="473"/>
      <c r="N171" s="473"/>
      <c r="O171" s="473"/>
      <c r="P171" s="473"/>
      <c r="Q171" s="473"/>
      <c r="R171" s="473"/>
      <c r="S171" s="473"/>
      <c r="T171" s="473"/>
      <c r="U171" s="473"/>
      <c r="V171" s="473"/>
      <c r="W171" s="473"/>
      <c r="X171" s="473"/>
      <c r="Y171" s="473"/>
    </row>
    <row r="172" spans="1:25" x14ac:dyDescent="0.35">
      <c r="A172" s="473"/>
      <c r="B172" s="36"/>
      <c r="C172" s="51"/>
      <c r="D172" s="42"/>
      <c r="E172" s="473"/>
      <c r="F172" s="473"/>
      <c r="G172" s="473"/>
      <c r="H172" s="473"/>
      <c r="I172" s="473"/>
      <c r="J172" s="473"/>
      <c r="K172" s="473"/>
      <c r="L172" s="473"/>
      <c r="M172" s="473"/>
      <c r="N172" s="473"/>
      <c r="O172" s="473"/>
      <c r="P172" s="473"/>
      <c r="Q172" s="473"/>
      <c r="R172" s="473"/>
      <c r="S172" s="473"/>
      <c r="T172" s="473"/>
      <c r="U172" s="473"/>
      <c r="V172" s="473"/>
      <c r="W172" s="473"/>
      <c r="X172" s="473"/>
      <c r="Y172" s="473"/>
    </row>
    <row r="173" spans="1:25" ht="17" x14ac:dyDescent="0.35">
      <c r="A173" s="473" t="s">
        <v>503</v>
      </c>
      <c r="B173" s="36" t="s">
        <v>373</v>
      </c>
      <c r="C173" s="46">
        <f>C159</f>
        <v>202755.51793014118</v>
      </c>
      <c r="D173" s="38" t="s">
        <v>469</v>
      </c>
      <c r="E173" s="35" t="s">
        <v>437</v>
      </c>
      <c r="F173" s="56">
        <v>1</v>
      </c>
      <c r="G173" s="38" t="s">
        <v>451</v>
      </c>
      <c r="H173" s="35" t="s">
        <v>437</v>
      </c>
      <c r="I173" s="56">
        <v>365</v>
      </c>
      <c r="J173" s="38" t="s">
        <v>163</v>
      </c>
      <c r="K173" s="473"/>
      <c r="L173" s="473"/>
      <c r="M173" s="473"/>
      <c r="N173" s="473"/>
      <c r="O173" s="473"/>
      <c r="P173" s="473"/>
      <c r="Q173" s="473"/>
      <c r="R173" s="473"/>
      <c r="S173" s="473"/>
      <c r="T173" s="473"/>
      <c r="U173" s="473"/>
      <c r="V173" s="473"/>
      <c r="W173" s="473"/>
      <c r="X173" s="473"/>
      <c r="Y173" s="473"/>
    </row>
    <row r="174" spans="1:25" x14ac:dyDescent="0.35">
      <c r="A174" s="61"/>
      <c r="B174" s="36"/>
      <c r="C174" s="58">
        <v>1</v>
      </c>
      <c r="D174" s="35" t="s">
        <v>471</v>
      </c>
      <c r="E174" s="35"/>
      <c r="F174" s="58">
        <v>100</v>
      </c>
      <c r="G174" s="35" t="s">
        <v>469</v>
      </c>
      <c r="H174" s="35"/>
      <c r="I174" s="58">
        <v>1</v>
      </c>
      <c r="J174" s="35" t="s">
        <v>504</v>
      </c>
      <c r="K174" s="473"/>
      <c r="L174" s="473"/>
      <c r="M174" s="473"/>
      <c r="N174" s="473"/>
      <c r="O174" s="473"/>
      <c r="P174" s="473"/>
      <c r="Q174" s="473"/>
      <c r="R174" s="473"/>
      <c r="S174" s="473"/>
      <c r="T174" s="473"/>
      <c r="U174" s="473"/>
      <c r="V174" s="473"/>
      <c r="W174" s="473"/>
      <c r="X174" s="473"/>
      <c r="Y174" s="473"/>
    </row>
    <row r="175" spans="1:25" ht="16.5" x14ac:dyDescent="0.35">
      <c r="A175" s="473"/>
      <c r="B175" s="36"/>
      <c r="C175" s="41">
        <f>C173*I173/F174</f>
        <v>740057.64044501528</v>
      </c>
      <c r="D175" s="42" t="s">
        <v>505</v>
      </c>
      <c r="E175" s="40"/>
      <c r="F175" s="40" t="s">
        <v>0</v>
      </c>
      <c r="G175" s="40"/>
      <c r="H175" s="473"/>
      <c r="I175" s="473"/>
      <c r="J175" s="473"/>
      <c r="K175" s="473"/>
      <c r="L175" s="473"/>
      <c r="M175" s="473"/>
      <c r="N175" s="473"/>
      <c r="O175" s="473"/>
      <c r="P175" s="473"/>
      <c r="Q175" s="473"/>
      <c r="R175" s="473"/>
      <c r="S175" s="473"/>
      <c r="T175" s="473"/>
      <c r="U175" s="473"/>
      <c r="V175" s="473"/>
      <c r="W175" s="473"/>
      <c r="X175" s="473"/>
      <c r="Y175" s="473"/>
    </row>
    <row r="176" spans="1:25" x14ac:dyDescent="0.35">
      <c r="A176" s="473"/>
      <c r="B176" s="36"/>
      <c r="C176" s="51"/>
      <c r="D176" s="42"/>
      <c r="E176" s="473"/>
      <c r="F176" s="473"/>
      <c r="G176" s="473"/>
      <c r="H176" s="473"/>
      <c r="I176" s="473"/>
      <c r="J176" s="473"/>
      <c r="K176" s="473"/>
      <c r="L176" s="473"/>
      <c r="M176" s="473"/>
      <c r="N176" s="473"/>
      <c r="O176" s="473"/>
      <c r="P176" s="473"/>
      <c r="Q176" s="473"/>
      <c r="R176" s="473"/>
      <c r="S176" s="473"/>
      <c r="T176" s="473"/>
      <c r="U176" s="473"/>
      <c r="V176" s="473"/>
      <c r="W176" s="473"/>
      <c r="X176" s="473"/>
      <c r="Y176" s="473"/>
    </row>
    <row r="177" spans="1:25" ht="17" x14ac:dyDescent="0.35">
      <c r="A177" s="473" t="s">
        <v>506</v>
      </c>
      <c r="B177" s="36" t="s">
        <v>373</v>
      </c>
      <c r="C177" s="46">
        <f>C175</f>
        <v>740057.64044501528</v>
      </c>
      <c r="D177" s="38" t="s">
        <v>451</v>
      </c>
      <c r="E177" s="35" t="s">
        <v>437</v>
      </c>
      <c r="F177" s="56">
        <v>1</v>
      </c>
      <c r="G177" s="38" t="s">
        <v>504</v>
      </c>
      <c r="H177" s="35" t="s">
        <v>437</v>
      </c>
      <c r="I177" s="56">
        <v>1</v>
      </c>
      <c r="J177" s="38" t="s">
        <v>163</v>
      </c>
      <c r="K177" s="35" t="s">
        <v>437</v>
      </c>
      <c r="L177" s="56">
        <v>1</v>
      </c>
      <c r="M177" s="38" t="s">
        <v>507</v>
      </c>
      <c r="N177" s="473"/>
      <c r="O177" s="473"/>
      <c r="P177" s="473"/>
      <c r="Q177" s="473"/>
      <c r="R177" s="473"/>
      <c r="S177" s="473"/>
      <c r="T177" s="473"/>
      <c r="U177" s="473"/>
      <c r="V177" s="473"/>
      <c r="W177" s="473"/>
      <c r="X177" s="473"/>
      <c r="Y177" s="473"/>
    </row>
    <row r="178" spans="1:25" x14ac:dyDescent="0.35">
      <c r="A178" s="61"/>
      <c r="B178" s="36"/>
      <c r="C178" s="58">
        <v>1</v>
      </c>
      <c r="D178" s="35" t="s">
        <v>504</v>
      </c>
      <c r="E178" s="35"/>
      <c r="F178" s="58">
        <f>I173</f>
        <v>365</v>
      </c>
      <c r="G178" s="35" t="s">
        <v>163</v>
      </c>
      <c r="H178" s="35"/>
      <c r="I178" s="58">
        <v>6</v>
      </c>
      <c r="J178" s="35" t="s">
        <v>507</v>
      </c>
      <c r="K178" s="35"/>
      <c r="L178" s="58">
        <v>3</v>
      </c>
      <c r="M178" s="35" t="s">
        <v>508</v>
      </c>
      <c r="N178" s="473"/>
      <c r="O178" s="473"/>
      <c r="P178" s="61" t="s">
        <v>509</v>
      </c>
      <c r="Q178" s="473"/>
      <c r="R178" s="473"/>
      <c r="S178" s="473">
        <v>6</v>
      </c>
      <c r="T178" s="473" t="s">
        <v>510</v>
      </c>
      <c r="U178" s="473"/>
      <c r="V178" s="473"/>
      <c r="W178" s="473"/>
      <c r="X178" s="473"/>
      <c r="Y178" s="473"/>
    </row>
    <row r="179" spans="1:25" ht="16.5" x14ac:dyDescent="0.35">
      <c r="A179" s="473"/>
      <c r="B179" s="36"/>
      <c r="C179" s="41">
        <f>ROUNDDOWN((C177*I177/F178/I178/L178),-2)</f>
        <v>100</v>
      </c>
      <c r="D179" s="42" t="s">
        <v>511</v>
      </c>
      <c r="E179" s="40"/>
      <c r="F179" s="40"/>
      <c r="G179" s="40"/>
      <c r="H179" s="473"/>
      <c r="I179" s="473"/>
      <c r="J179" s="473"/>
      <c r="K179" s="473"/>
      <c r="L179" s="473"/>
      <c r="M179" s="473"/>
      <c r="N179" s="473"/>
      <c r="O179" s="473"/>
      <c r="P179" s="473"/>
      <c r="Q179" s="473"/>
      <c r="R179" s="473"/>
      <c r="S179" s="473"/>
      <c r="T179" s="473"/>
      <c r="U179" s="473"/>
      <c r="V179" s="473"/>
      <c r="W179" s="473"/>
      <c r="X179" s="473"/>
      <c r="Y179" s="473"/>
    </row>
    <row r="180" spans="1:25" x14ac:dyDescent="0.35">
      <c r="A180" s="473"/>
      <c r="B180" s="36"/>
      <c r="C180" s="51"/>
      <c r="D180" s="42"/>
      <c r="E180" s="473"/>
      <c r="F180" s="473"/>
      <c r="G180" s="473"/>
      <c r="H180" s="473"/>
      <c r="I180" s="473"/>
      <c r="J180" s="473"/>
      <c r="K180" s="473"/>
      <c r="L180" s="473"/>
      <c r="M180" s="473"/>
      <c r="N180" s="473"/>
      <c r="O180" s="473"/>
      <c r="P180" s="473"/>
      <c r="Q180" s="473"/>
      <c r="R180" s="473"/>
      <c r="S180" s="473"/>
      <c r="T180" s="473"/>
      <c r="U180" s="473"/>
      <c r="V180" s="473"/>
      <c r="W180" s="473"/>
      <c r="X180" s="473"/>
      <c r="Y180" s="473"/>
    </row>
    <row r="181" spans="1:25" ht="17" x14ac:dyDescent="0.35">
      <c r="A181" s="473" t="s">
        <v>512</v>
      </c>
      <c r="B181" s="36" t="s">
        <v>373</v>
      </c>
      <c r="C181" s="46">
        <f>'TTS Calculation Summary'!V111</f>
        <v>140643.28302178744</v>
      </c>
      <c r="D181" s="38" t="s">
        <v>469</v>
      </c>
      <c r="E181" s="35" t="s">
        <v>437</v>
      </c>
      <c r="F181" s="56">
        <v>1</v>
      </c>
      <c r="G181" s="38" t="s">
        <v>451</v>
      </c>
      <c r="H181" s="35" t="s">
        <v>437</v>
      </c>
      <c r="I181" s="56">
        <v>365</v>
      </c>
      <c r="J181" s="38" t="s">
        <v>163</v>
      </c>
      <c r="K181" s="473"/>
      <c r="L181" s="473"/>
      <c r="M181" s="473"/>
      <c r="N181" s="473"/>
      <c r="O181" s="473"/>
      <c r="P181" s="473"/>
      <c r="Q181" s="473"/>
      <c r="R181" s="473"/>
      <c r="S181" s="473"/>
      <c r="T181" s="473"/>
      <c r="U181" s="473"/>
      <c r="V181" s="473"/>
      <c r="W181" s="473"/>
      <c r="X181" s="473"/>
      <c r="Y181" s="473"/>
    </row>
    <row r="182" spans="1:25" x14ac:dyDescent="0.35">
      <c r="A182" s="61"/>
      <c r="B182" s="36"/>
      <c r="C182" s="58">
        <v>1</v>
      </c>
      <c r="D182" s="35" t="s">
        <v>471</v>
      </c>
      <c r="E182" s="35"/>
      <c r="F182" s="58">
        <v>100</v>
      </c>
      <c r="G182" s="35" t="s">
        <v>469</v>
      </c>
      <c r="H182" s="35"/>
      <c r="I182" s="58">
        <v>1</v>
      </c>
      <c r="J182" s="35" t="s">
        <v>504</v>
      </c>
      <c r="K182" s="473"/>
      <c r="L182" s="473"/>
      <c r="M182" s="473"/>
      <c r="N182" s="473"/>
      <c r="O182" s="473"/>
      <c r="P182" s="473"/>
      <c r="Q182" s="473"/>
      <c r="R182" s="473"/>
      <c r="S182" s="473"/>
      <c r="T182" s="473"/>
      <c r="U182" s="473"/>
      <c r="V182" s="473"/>
      <c r="W182" s="473"/>
      <c r="X182" s="473"/>
      <c r="Y182" s="473"/>
    </row>
    <row r="183" spans="1:25" ht="16.5" x14ac:dyDescent="0.35">
      <c r="A183" s="473"/>
      <c r="B183" s="36"/>
      <c r="C183" s="41">
        <f>C181*I181/F182</f>
        <v>513347.98302952416</v>
      </c>
      <c r="D183" s="42" t="s">
        <v>505</v>
      </c>
      <c r="E183" s="40"/>
      <c r="F183" s="40"/>
      <c r="G183" s="40"/>
      <c r="H183" s="473"/>
      <c r="I183" s="473"/>
      <c r="J183" s="473"/>
      <c r="K183" s="473"/>
      <c r="L183" s="473"/>
      <c r="M183" s="473"/>
      <c r="N183" s="473"/>
      <c r="O183" s="473"/>
      <c r="P183" s="473"/>
      <c r="Q183" s="473"/>
      <c r="R183" s="473"/>
      <c r="S183" s="473"/>
      <c r="T183" s="473"/>
      <c r="U183" s="473"/>
      <c r="V183" s="473"/>
      <c r="W183" s="473"/>
      <c r="X183" s="473"/>
      <c r="Y183" s="473"/>
    </row>
    <row r="184" spans="1:25" x14ac:dyDescent="0.35">
      <c r="A184" s="473"/>
      <c r="B184" s="36"/>
      <c r="C184" s="51"/>
      <c r="D184" s="42"/>
      <c r="E184" s="473"/>
      <c r="F184" s="473"/>
      <c r="G184" s="473"/>
      <c r="H184" s="473"/>
      <c r="I184" s="473"/>
      <c r="J184" s="473"/>
      <c r="K184" s="473"/>
      <c r="L184" s="473"/>
      <c r="M184" s="473"/>
      <c r="N184" s="473"/>
      <c r="O184" s="473"/>
      <c r="P184" s="473"/>
      <c r="Q184" s="473"/>
      <c r="R184" s="473"/>
      <c r="S184" s="473"/>
      <c r="T184" s="473"/>
      <c r="U184" s="473"/>
      <c r="V184" s="473"/>
      <c r="W184" s="473"/>
      <c r="X184" s="473"/>
      <c r="Y184" s="473"/>
    </row>
    <row r="185" spans="1:25" ht="17" x14ac:dyDescent="0.35">
      <c r="A185" s="473" t="s">
        <v>513</v>
      </c>
      <c r="B185" s="36" t="s">
        <v>373</v>
      </c>
      <c r="C185" s="46">
        <f>C183</f>
        <v>513347.98302952416</v>
      </c>
      <c r="D185" s="38" t="s">
        <v>451</v>
      </c>
      <c r="E185" s="35" t="s">
        <v>437</v>
      </c>
      <c r="F185" s="56">
        <v>1</v>
      </c>
      <c r="G185" s="38" t="s">
        <v>504</v>
      </c>
      <c r="H185" s="35" t="s">
        <v>437</v>
      </c>
      <c r="I185" s="56">
        <v>1</v>
      </c>
      <c r="J185" s="38" t="s">
        <v>163</v>
      </c>
      <c r="K185" s="35" t="s">
        <v>437</v>
      </c>
      <c r="L185" s="56">
        <v>1</v>
      </c>
      <c r="M185" s="38" t="s">
        <v>507</v>
      </c>
      <c r="N185" s="473"/>
      <c r="O185" s="473"/>
      <c r="P185" s="61" t="s">
        <v>514</v>
      </c>
      <c r="Q185" s="473"/>
      <c r="R185" s="473"/>
      <c r="S185" s="473"/>
      <c r="T185" s="473"/>
      <c r="U185" s="473"/>
      <c r="V185" s="473"/>
      <c r="W185" s="473"/>
      <c r="X185" s="473"/>
      <c r="Y185" s="473"/>
    </row>
    <row r="186" spans="1:25" x14ac:dyDescent="0.35">
      <c r="A186" s="61"/>
      <c r="B186" s="36"/>
      <c r="C186" s="58">
        <v>1</v>
      </c>
      <c r="D186" s="35" t="s">
        <v>504</v>
      </c>
      <c r="E186" s="35"/>
      <c r="F186" s="58">
        <f>I181</f>
        <v>365</v>
      </c>
      <c r="G186" s="35" t="s">
        <v>163</v>
      </c>
      <c r="H186" s="35"/>
      <c r="I186" s="58">
        <v>3</v>
      </c>
      <c r="J186" s="35" t="s">
        <v>507</v>
      </c>
      <c r="K186" s="35"/>
      <c r="L186" s="58">
        <v>3</v>
      </c>
      <c r="M186" s="35" t="s">
        <v>508</v>
      </c>
      <c r="N186" s="473"/>
      <c r="O186" s="473"/>
      <c r="P186" s="473"/>
      <c r="Q186" s="473"/>
      <c r="R186" s="473"/>
      <c r="S186" s="473"/>
      <c r="T186" s="473"/>
      <c r="U186" s="473"/>
      <c r="V186" s="473"/>
      <c r="W186" s="473"/>
      <c r="X186" s="473"/>
      <c r="Y186" s="473"/>
    </row>
    <row r="187" spans="1:25" ht="16.5" x14ac:dyDescent="0.35">
      <c r="A187" s="473"/>
      <c r="B187" s="36"/>
      <c r="C187" s="41">
        <f>ROUNDUP((C185*I185/F186/I186/L186),-2)</f>
        <v>200</v>
      </c>
      <c r="D187" s="42" t="s">
        <v>511</v>
      </c>
      <c r="E187" s="40"/>
      <c r="F187" s="40"/>
      <c r="G187" s="40"/>
      <c r="H187" s="473"/>
      <c r="I187" s="473"/>
      <c r="J187" s="473"/>
      <c r="K187" s="473"/>
      <c r="L187" s="473"/>
      <c r="M187" s="473"/>
      <c r="N187" s="473"/>
      <c r="O187" s="473"/>
      <c r="P187" s="473"/>
      <c r="Q187" s="473"/>
      <c r="R187" s="473"/>
      <c r="S187" s="473"/>
      <c r="T187" s="473"/>
      <c r="U187" s="473"/>
      <c r="V187" s="473"/>
      <c r="W187" s="473"/>
      <c r="X187" s="473"/>
      <c r="Y187" s="473"/>
    </row>
    <row r="188" spans="1:25" x14ac:dyDescent="0.35">
      <c r="A188" s="473"/>
      <c r="B188" s="36"/>
      <c r="C188" s="51"/>
      <c r="D188" s="42"/>
      <c r="E188" s="473"/>
      <c r="F188" s="473"/>
      <c r="G188" s="473"/>
      <c r="H188" s="473"/>
      <c r="I188" s="473"/>
      <c r="J188" s="473"/>
      <c r="K188" s="473"/>
      <c r="L188" s="473"/>
      <c r="M188" s="473"/>
      <c r="N188" s="473"/>
      <c r="O188" s="473"/>
      <c r="P188" s="473"/>
      <c r="Q188" s="473"/>
      <c r="R188" s="473"/>
      <c r="S188" s="473"/>
      <c r="T188" s="473"/>
      <c r="U188" s="473"/>
      <c r="V188" s="473"/>
      <c r="W188" s="473"/>
      <c r="X188" s="473"/>
      <c r="Y188" s="473"/>
    </row>
    <row r="189" spans="1:25" x14ac:dyDescent="0.35">
      <c r="A189" s="40" t="s">
        <v>515</v>
      </c>
      <c r="B189" s="36" t="s">
        <v>373</v>
      </c>
      <c r="C189" s="37">
        <f>C93</f>
        <v>29</v>
      </c>
      <c r="D189" s="38" t="s">
        <v>243</v>
      </c>
      <c r="E189" s="35" t="s">
        <v>437</v>
      </c>
      <c r="F189" s="38">
        <v>270</v>
      </c>
      <c r="G189" s="38" t="s">
        <v>438</v>
      </c>
      <c r="H189" s="35" t="s">
        <v>437</v>
      </c>
      <c r="I189" s="38">
        <v>1.1000000000000001</v>
      </c>
      <c r="J189" s="38" t="s">
        <v>442</v>
      </c>
      <c r="K189" s="473"/>
      <c r="L189" s="473"/>
      <c r="M189" s="473"/>
      <c r="N189" s="473"/>
      <c r="O189" s="473"/>
      <c r="P189" s="473"/>
      <c r="Q189" s="473"/>
      <c r="R189" s="473"/>
      <c r="S189" s="473"/>
      <c r="T189" s="473"/>
      <c r="U189" s="473"/>
      <c r="V189" s="473"/>
      <c r="W189" s="473"/>
      <c r="X189" s="473"/>
      <c r="Y189" s="473"/>
    </row>
    <row r="190" spans="1:25" x14ac:dyDescent="0.35">
      <c r="A190" s="40"/>
      <c r="B190" s="35"/>
      <c r="C190" s="35">
        <v>1</v>
      </c>
      <c r="D190" s="35" t="s">
        <v>438</v>
      </c>
      <c r="E190" s="35"/>
      <c r="F190" s="35"/>
      <c r="G190" s="35"/>
      <c r="H190" s="35"/>
      <c r="I190" s="35"/>
      <c r="J190" s="35"/>
      <c r="K190" s="473"/>
      <c r="L190" s="473"/>
      <c r="M190" s="473"/>
      <c r="N190" s="473"/>
      <c r="O190" s="473"/>
      <c r="P190" s="473"/>
      <c r="Q190" s="473"/>
      <c r="R190" s="473"/>
      <c r="S190" s="473"/>
      <c r="T190" s="473"/>
      <c r="U190" s="473"/>
      <c r="V190" s="473"/>
      <c r="W190" s="473"/>
      <c r="X190" s="473"/>
      <c r="Y190" s="473"/>
    </row>
    <row r="191" spans="1:25" x14ac:dyDescent="0.35">
      <c r="A191" s="40"/>
      <c r="B191" s="474" t="s">
        <v>373</v>
      </c>
      <c r="C191" s="41">
        <f>ROUNDUP((C189*F189*I189),-3)</f>
        <v>9000</v>
      </c>
      <c r="D191" s="42" t="s">
        <v>243</v>
      </c>
      <c r="E191" s="40"/>
      <c r="F191" s="40"/>
      <c r="G191" s="40"/>
      <c r="H191" s="40"/>
      <c r="I191" s="40"/>
      <c r="J191" s="40"/>
      <c r="K191" s="473"/>
      <c r="L191" s="473"/>
      <c r="M191" s="473"/>
      <c r="N191" s="473"/>
      <c r="O191" s="473"/>
      <c r="P191" s="473"/>
      <c r="Q191" s="473"/>
      <c r="R191" s="473"/>
      <c r="S191" s="473"/>
      <c r="T191" s="473"/>
      <c r="U191" s="473"/>
      <c r="V191" s="473"/>
      <c r="W191" s="473"/>
      <c r="X191" s="473"/>
      <c r="Y191" s="473"/>
    </row>
    <row r="192" spans="1:25" x14ac:dyDescent="0.35">
      <c r="A192" s="40"/>
      <c r="B192" s="474"/>
      <c r="C192" s="41"/>
      <c r="D192" s="42"/>
      <c r="E192" s="40"/>
      <c r="F192" s="40"/>
      <c r="G192" s="40"/>
      <c r="H192" s="40"/>
      <c r="I192" s="40"/>
      <c r="J192" s="40"/>
      <c r="K192" s="473"/>
      <c r="L192" s="473"/>
      <c r="M192" s="473"/>
      <c r="N192" s="473"/>
      <c r="O192" s="473"/>
      <c r="P192" s="473"/>
      <c r="Q192" s="473"/>
      <c r="R192" s="473"/>
      <c r="S192" s="473"/>
      <c r="T192" s="473"/>
      <c r="U192" s="473"/>
      <c r="V192" s="473"/>
      <c r="W192" s="473"/>
      <c r="X192" s="473"/>
      <c r="Y192" s="473"/>
    </row>
    <row r="193" spans="1:25" ht="17" x14ac:dyDescent="0.35">
      <c r="A193" s="469"/>
      <c r="B193" s="471" t="s">
        <v>373</v>
      </c>
      <c r="C193" s="475">
        <f>C191</f>
        <v>9000</v>
      </c>
      <c r="D193" s="476" t="s">
        <v>243</v>
      </c>
      <c r="E193" s="469" t="s">
        <v>437</v>
      </c>
      <c r="F193" s="476">
        <v>1</v>
      </c>
      <c r="G193" s="476" t="s">
        <v>444</v>
      </c>
      <c r="H193" s="469"/>
      <c r="I193" s="469"/>
      <c r="J193" s="469"/>
      <c r="K193" s="469"/>
      <c r="L193" s="469"/>
      <c r="M193" s="469"/>
      <c r="N193" s="469"/>
      <c r="O193" s="469"/>
      <c r="P193" s="469"/>
      <c r="Q193" s="469"/>
      <c r="R193" s="469"/>
      <c r="S193" s="469"/>
      <c r="T193" s="469"/>
      <c r="U193" s="469"/>
      <c r="V193" s="469"/>
      <c r="W193" s="469"/>
      <c r="X193" s="469"/>
      <c r="Y193" s="469"/>
    </row>
    <row r="194" spans="1:25" x14ac:dyDescent="0.35">
      <c r="A194" s="469"/>
      <c r="B194" s="471"/>
      <c r="C194" s="26"/>
      <c r="D194" s="27"/>
      <c r="E194" s="469"/>
      <c r="F194" s="477">
        <v>7.4809999999999999</v>
      </c>
      <c r="G194" s="469" t="s">
        <v>243</v>
      </c>
      <c r="H194" s="469"/>
      <c r="I194" s="469"/>
      <c r="J194" s="469"/>
      <c r="K194" s="469"/>
      <c r="L194" s="469"/>
      <c r="M194" s="469"/>
      <c r="N194" s="469"/>
      <c r="O194" s="469"/>
      <c r="P194" s="469"/>
      <c r="Q194" s="469"/>
      <c r="R194" s="469"/>
      <c r="S194" s="469"/>
      <c r="T194" s="469"/>
      <c r="U194" s="469"/>
      <c r="V194" s="469"/>
      <c r="W194" s="469"/>
      <c r="X194" s="469"/>
      <c r="Y194" s="469"/>
    </row>
    <row r="195" spans="1:25" ht="16.5" x14ac:dyDescent="0.35">
      <c r="A195" s="469"/>
      <c r="B195" s="471" t="s">
        <v>373</v>
      </c>
      <c r="C195" s="26">
        <f>C193/F194</f>
        <v>1203.0477208929287</v>
      </c>
      <c r="D195" s="27" t="s">
        <v>445</v>
      </c>
      <c r="E195" s="469"/>
      <c r="F195" s="469"/>
      <c r="G195" s="469"/>
      <c r="H195" s="469"/>
      <c r="I195" s="469"/>
      <c r="J195" s="469"/>
      <c r="K195" s="469"/>
      <c r="L195" s="469"/>
      <c r="M195" s="469"/>
      <c r="N195" s="469"/>
      <c r="O195" s="469"/>
      <c r="P195" s="469"/>
      <c r="Q195" s="469"/>
      <c r="R195" s="469"/>
      <c r="S195" s="469"/>
      <c r="T195" s="469"/>
      <c r="U195" s="469"/>
      <c r="V195" s="469"/>
      <c r="W195" s="469"/>
      <c r="X195" s="469"/>
      <c r="Y195" s="469"/>
    </row>
    <row r="196" spans="1:25" x14ac:dyDescent="0.35">
      <c r="A196" s="469"/>
      <c r="B196" s="471"/>
      <c r="C196" s="26"/>
      <c r="D196" s="27"/>
      <c r="E196" s="469"/>
      <c r="F196" s="469"/>
      <c r="G196" s="469"/>
      <c r="H196" s="469"/>
      <c r="I196" s="469"/>
      <c r="J196" s="469"/>
      <c r="K196" s="469"/>
      <c r="L196" s="469"/>
      <c r="M196" s="469"/>
      <c r="N196" s="469"/>
      <c r="O196" s="469"/>
      <c r="P196" s="469"/>
      <c r="Q196" s="469"/>
      <c r="R196" s="469"/>
      <c r="S196" s="469"/>
      <c r="T196" s="469"/>
      <c r="U196" s="469"/>
      <c r="V196" s="469"/>
      <c r="W196" s="469"/>
      <c r="X196" s="469"/>
      <c r="Y196" s="469"/>
    </row>
    <row r="197" spans="1:25" x14ac:dyDescent="0.35">
      <c r="A197" s="469" t="s">
        <v>446</v>
      </c>
      <c r="B197" s="471" t="s">
        <v>373</v>
      </c>
      <c r="C197" s="309">
        <v>12</v>
      </c>
      <c r="D197" s="310" t="s">
        <v>185</v>
      </c>
      <c r="E197" s="469"/>
      <c r="F197" s="469"/>
      <c r="G197" s="469"/>
      <c r="H197" s="469"/>
      <c r="I197" s="469"/>
      <c r="J197" s="469"/>
      <c r="K197" s="469"/>
      <c r="L197" s="469"/>
      <c r="M197" s="469"/>
      <c r="N197" s="469"/>
      <c r="O197" s="469"/>
      <c r="P197" s="469"/>
      <c r="Q197" s="469"/>
      <c r="R197" s="469"/>
      <c r="S197" s="469"/>
      <c r="T197" s="469"/>
      <c r="U197" s="469"/>
      <c r="V197" s="469"/>
      <c r="W197" s="469"/>
      <c r="X197" s="469"/>
      <c r="Y197" s="469"/>
    </row>
    <row r="198" spans="1:25" x14ac:dyDescent="0.35">
      <c r="A198" s="469"/>
      <c r="B198" s="471"/>
      <c r="C198" s="26"/>
      <c r="D198" s="27"/>
      <c r="E198" s="469"/>
      <c r="F198" s="469"/>
      <c r="G198" s="469"/>
      <c r="H198" s="469"/>
      <c r="I198" s="469"/>
      <c r="J198" s="469"/>
      <c r="K198" s="469"/>
      <c r="L198" s="469"/>
      <c r="M198" s="469"/>
      <c r="N198" s="469"/>
      <c r="O198" s="469"/>
      <c r="P198" s="469"/>
      <c r="Q198" s="469"/>
      <c r="R198" s="469"/>
      <c r="S198" s="469"/>
      <c r="T198" s="469"/>
      <c r="U198" s="469"/>
      <c r="V198" s="469"/>
      <c r="W198" s="469"/>
      <c r="X198" s="469"/>
      <c r="Y198" s="469"/>
    </row>
    <row r="199" spans="1:25" ht="17" x14ac:dyDescent="0.35">
      <c r="A199" s="469" t="s">
        <v>447</v>
      </c>
      <c r="B199" s="43" t="s">
        <v>373</v>
      </c>
      <c r="C199" s="478">
        <f>C195</f>
        <v>1203.0477208929287</v>
      </c>
      <c r="D199" s="476" t="s">
        <v>444</v>
      </c>
      <c r="E199" s="469" t="s">
        <v>437</v>
      </c>
      <c r="F199" s="479">
        <v>4</v>
      </c>
      <c r="G199" s="44">
        <v>0.5</v>
      </c>
      <c r="H199" s="469"/>
      <c r="I199" s="469"/>
      <c r="J199" s="469"/>
      <c r="K199" s="469"/>
      <c r="L199" s="469"/>
      <c r="M199" s="469"/>
      <c r="N199" s="469"/>
      <c r="O199" s="469"/>
      <c r="P199" s="469"/>
      <c r="Q199" s="469"/>
      <c r="R199" s="469"/>
      <c r="S199" s="469"/>
      <c r="T199" s="469"/>
      <c r="U199" s="469"/>
      <c r="V199" s="469"/>
      <c r="W199" s="469"/>
      <c r="X199" s="469"/>
      <c r="Y199" s="469"/>
    </row>
    <row r="200" spans="1:25" x14ac:dyDescent="0.35">
      <c r="A200" s="469"/>
      <c r="B200" s="469"/>
      <c r="C200" s="480">
        <f>C197</f>
        <v>12</v>
      </c>
      <c r="D200" s="469" t="s">
        <v>185</v>
      </c>
      <c r="E200" s="469"/>
      <c r="F200" s="481" t="s">
        <v>448</v>
      </c>
      <c r="G200" s="469"/>
      <c r="H200" s="469"/>
      <c r="I200" s="469"/>
      <c r="J200" s="469"/>
      <c r="K200" s="469"/>
      <c r="L200" s="469"/>
      <c r="M200" s="469"/>
      <c r="N200" s="469"/>
      <c r="O200" s="469"/>
      <c r="P200" s="469"/>
      <c r="Q200" s="469"/>
      <c r="R200" s="469"/>
      <c r="S200" s="469"/>
      <c r="T200" s="469"/>
      <c r="U200" s="469"/>
      <c r="V200" s="469"/>
      <c r="W200" s="469"/>
      <c r="X200" s="469"/>
      <c r="Y200" s="469"/>
    </row>
    <row r="201" spans="1:25" x14ac:dyDescent="0.35">
      <c r="A201" s="469"/>
      <c r="B201" s="43" t="s">
        <v>373</v>
      </c>
      <c r="C201" s="45">
        <f>ROUNDUP(SQRT(C199/C200*F199/PI()),-0.5)</f>
        <v>12</v>
      </c>
      <c r="D201" s="27" t="s">
        <v>185</v>
      </c>
      <c r="E201" s="469"/>
      <c r="F201" s="469"/>
      <c r="G201" s="469"/>
      <c r="H201" s="469"/>
      <c r="I201" s="469"/>
      <c r="J201" s="469"/>
      <c r="K201" s="469"/>
      <c r="L201" s="469"/>
      <c r="M201" s="469"/>
      <c r="N201" s="469"/>
      <c r="O201" s="469"/>
      <c r="P201" s="469"/>
      <c r="Q201" s="469"/>
      <c r="R201" s="469"/>
      <c r="S201" s="469"/>
      <c r="T201" s="469"/>
      <c r="U201" s="469"/>
      <c r="V201" s="469"/>
      <c r="W201" s="469"/>
      <c r="X201" s="469"/>
      <c r="Y201" s="469"/>
    </row>
    <row r="202" spans="1:25" x14ac:dyDescent="0.35">
      <c r="A202" s="473"/>
      <c r="B202" s="473"/>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row>
    <row r="203" spans="1:25" x14ac:dyDescent="0.35">
      <c r="A203" s="760" t="s">
        <v>272</v>
      </c>
      <c r="B203" s="760"/>
      <c r="C203" s="760"/>
      <c r="D203" s="760"/>
      <c r="E203" s="760"/>
      <c r="F203" s="760"/>
      <c r="G203" s="760"/>
      <c r="H203" s="760"/>
      <c r="I203" s="760"/>
      <c r="J203" s="760"/>
      <c r="K203" s="469"/>
      <c r="L203" s="469"/>
      <c r="M203" s="469"/>
      <c r="N203" s="469"/>
      <c r="O203" s="469"/>
      <c r="P203" s="469"/>
      <c r="Q203" s="469"/>
      <c r="R203" s="469"/>
      <c r="S203" s="469"/>
      <c r="T203" s="469"/>
      <c r="U203" s="469"/>
      <c r="V203" s="469"/>
      <c r="W203" s="469"/>
      <c r="X203" s="469"/>
      <c r="Y203" s="469"/>
    </row>
    <row r="204" spans="1:25" x14ac:dyDescent="0.35">
      <c r="A204" s="491" t="s">
        <v>516</v>
      </c>
      <c r="B204" s="36" t="s">
        <v>373</v>
      </c>
      <c r="C204" s="49">
        <f>ROUNDUP((C171*0.5),0)</f>
        <v>9</v>
      </c>
      <c r="D204" s="49" t="s">
        <v>230</v>
      </c>
      <c r="E204" s="35"/>
      <c r="F204" s="35"/>
      <c r="G204" s="35"/>
      <c r="H204" s="473"/>
      <c r="I204" s="473"/>
      <c r="J204" s="473"/>
      <c r="K204" s="473"/>
      <c r="L204" s="473"/>
      <c r="M204" s="473"/>
      <c r="N204" s="473"/>
      <c r="O204" s="473"/>
      <c r="P204" s="473"/>
      <c r="Q204" s="473"/>
      <c r="R204" s="473"/>
      <c r="S204" s="473"/>
      <c r="T204" s="473"/>
      <c r="U204" s="473"/>
      <c r="V204" s="473"/>
      <c r="W204" s="473"/>
      <c r="X204" s="473"/>
      <c r="Y204" s="473"/>
    </row>
    <row r="205" spans="1:25" x14ac:dyDescent="0.35">
      <c r="A205" s="491"/>
      <c r="B205" s="36"/>
      <c r="C205" s="49"/>
      <c r="D205" s="49"/>
      <c r="E205" s="35"/>
      <c r="F205" s="35"/>
      <c r="G205" s="35"/>
      <c r="H205" s="473"/>
      <c r="I205" s="473"/>
      <c r="J205" s="473"/>
      <c r="K205" s="473"/>
      <c r="L205" s="473"/>
      <c r="M205" s="473"/>
      <c r="N205" s="473"/>
      <c r="O205" s="473"/>
      <c r="P205" s="473"/>
      <c r="Q205" s="473"/>
      <c r="R205" s="473"/>
      <c r="S205" s="473"/>
      <c r="T205" s="473"/>
      <c r="U205" s="473"/>
      <c r="V205" s="473"/>
      <c r="W205" s="473"/>
      <c r="X205" s="473"/>
      <c r="Y205" s="473"/>
    </row>
    <row r="206" spans="1:25" x14ac:dyDescent="0.35">
      <c r="A206" s="62" t="s">
        <v>436</v>
      </c>
      <c r="B206" s="63" t="s">
        <v>373</v>
      </c>
      <c r="C206" s="37">
        <f>C204</f>
        <v>9</v>
      </c>
      <c r="D206" s="38" t="s">
        <v>243</v>
      </c>
      <c r="E206" s="35" t="s">
        <v>437</v>
      </c>
      <c r="F206" s="38">
        <f>60*4</f>
        <v>240</v>
      </c>
      <c r="G206" s="38" t="s">
        <v>438</v>
      </c>
      <c r="H206" s="35"/>
      <c r="I206" s="35"/>
      <c r="J206" s="35"/>
      <c r="K206" s="473"/>
      <c r="L206" s="473"/>
      <c r="M206" s="473"/>
      <c r="N206" s="473"/>
      <c r="O206" s="473"/>
      <c r="P206" s="473"/>
      <c r="Q206" s="473"/>
      <c r="R206" s="473"/>
      <c r="S206" s="473"/>
      <c r="T206" s="473"/>
      <c r="U206" s="473"/>
      <c r="V206" s="473"/>
      <c r="W206" s="473"/>
      <c r="X206" s="473"/>
      <c r="Y206" s="473"/>
    </row>
    <row r="207" spans="1:25" x14ac:dyDescent="0.35">
      <c r="A207" s="62"/>
      <c r="B207" s="63"/>
      <c r="C207" s="58">
        <v>1</v>
      </c>
      <c r="D207" s="35" t="s">
        <v>438</v>
      </c>
      <c r="E207" s="35"/>
      <c r="F207" s="35"/>
      <c r="G207" s="35"/>
      <c r="H207" s="35"/>
      <c r="I207" s="35"/>
      <c r="J207" s="35"/>
      <c r="K207" s="473"/>
      <c r="L207" s="473"/>
      <c r="M207" s="473"/>
      <c r="N207" s="473"/>
      <c r="O207" s="473"/>
      <c r="P207" s="473"/>
      <c r="Q207" s="473"/>
      <c r="R207" s="473"/>
      <c r="S207" s="473"/>
      <c r="T207" s="473"/>
      <c r="U207" s="473"/>
      <c r="V207" s="473"/>
      <c r="W207" s="473"/>
      <c r="X207" s="473"/>
      <c r="Y207" s="473"/>
    </row>
    <row r="208" spans="1:25" x14ac:dyDescent="0.35">
      <c r="A208" s="62"/>
      <c r="B208" s="63" t="s">
        <v>373</v>
      </c>
      <c r="C208" s="64">
        <f>ROUNDUP((C206*F206),-3)</f>
        <v>3000</v>
      </c>
      <c r="D208" s="65" t="s">
        <v>243</v>
      </c>
      <c r="E208" s="35"/>
      <c r="F208" s="35"/>
      <c r="G208" s="35"/>
      <c r="H208" s="35"/>
      <c r="I208" s="35"/>
      <c r="J208" s="35"/>
      <c r="K208" s="473"/>
      <c r="L208" s="473"/>
      <c r="M208" s="473"/>
      <c r="N208" s="473"/>
      <c r="O208" s="473"/>
      <c r="P208" s="473"/>
      <c r="Q208" s="473"/>
      <c r="R208" s="473"/>
      <c r="S208" s="473"/>
      <c r="T208" s="473"/>
      <c r="U208" s="473"/>
      <c r="V208" s="473"/>
      <c r="W208" s="473"/>
      <c r="X208" s="473"/>
      <c r="Y208" s="473"/>
    </row>
    <row r="209" spans="1:25" x14ac:dyDescent="0.35">
      <c r="A209" s="62"/>
      <c r="B209" s="63"/>
      <c r="C209" s="58"/>
      <c r="D209" s="35"/>
      <c r="E209" s="35"/>
      <c r="F209" s="35"/>
      <c r="G209" s="35"/>
      <c r="H209" s="35"/>
      <c r="I209" s="35"/>
      <c r="J209" s="35"/>
      <c r="K209" s="473"/>
      <c r="L209" s="473"/>
      <c r="M209" s="473"/>
      <c r="N209" s="473"/>
      <c r="O209" s="473"/>
      <c r="P209" s="473"/>
      <c r="Q209" s="473"/>
      <c r="R209" s="473"/>
      <c r="S209" s="473"/>
      <c r="T209" s="473"/>
      <c r="U209" s="473"/>
      <c r="V209" s="473"/>
      <c r="W209" s="473"/>
      <c r="X209" s="473"/>
      <c r="Y209" s="473"/>
    </row>
    <row r="210" spans="1:25" ht="17" x14ac:dyDescent="0.35">
      <c r="A210" s="469"/>
      <c r="B210" s="471" t="s">
        <v>373</v>
      </c>
      <c r="C210" s="475">
        <f>C208</f>
        <v>3000</v>
      </c>
      <c r="D210" s="476" t="s">
        <v>243</v>
      </c>
      <c r="E210" s="469" t="s">
        <v>437</v>
      </c>
      <c r="F210" s="476">
        <v>1</v>
      </c>
      <c r="G210" s="476" t="s">
        <v>444</v>
      </c>
      <c r="H210" s="469"/>
      <c r="I210" s="469"/>
      <c r="J210" s="469"/>
      <c r="K210" s="469"/>
      <c r="L210" s="469"/>
      <c r="M210" s="469"/>
      <c r="N210" s="469"/>
      <c r="O210" s="469"/>
      <c r="P210" s="469"/>
      <c r="Q210" s="469"/>
      <c r="R210" s="469"/>
      <c r="S210" s="469"/>
      <c r="T210" s="469"/>
      <c r="U210" s="469"/>
      <c r="V210" s="469"/>
      <c r="W210" s="469"/>
      <c r="X210" s="469"/>
      <c r="Y210" s="469"/>
    </row>
    <row r="211" spans="1:25" x14ac:dyDescent="0.35">
      <c r="A211" s="469"/>
      <c r="B211" s="471"/>
      <c r="C211" s="26"/>
      <c r="D211" s="27"/>
      <c r="E211" s="469"/>
      <c r="F211" s="477">
        <v>7.4809999999999999</v>
      </c>
      <c r="G211" s="469" t="s">
        <v>243</v>
      </c>
      <c r="H211" s="469"/>
      <c r="I211" s="469"/>
      <c r="J211" s="469"/>
      <c r="K211" s="469"/>
      <c r="L211" s="469"/>
      <c r="M211" s="469"/>
      <c r="N211" s="469"/>
      <c r="O211" s="469"/>
      <c r="P211" s="469"/>
      <c r="Q211" s="469"/>
      <c r="R211" s="469"/>
      <c r="S211" s="469"/>
      <c r="T211" s="469"/>
      <c r="U211" s="469"/>
      <c r="V211" s="469"/>
      <c r="W211" s="469"/>
      <c r="X211" s="469"/>
      <c r="Y211" s="469"/>
    </row>
    <row r="212" spans="1:25" ht="16.5" x14ac:dyDescent="0.35">
      <c r="A212" s="469"/>
      <c r="B212" s="471" t="s">
        <v>373</v>
      </c>
      <c r="C212" s="26">
        <f>C210/F211</f>
        <v>401.01590696430958</v>
      </c>
      <c r="D212" s="27" t="s">
        <v>445</v>
      </c>
      <c r="E212" s="469"/>
      <c r="F212" s="469"/>
      <c r="G212" s="469"/>
      <c r="H212" s="469"/>
      <c r="I212" s="469"/>
      <c r="J212" s="469"/>
      <c r="K212" s="469"/>
      <c r="L212" s="469"/>
      <c r="M212" s="469"/>
      <c r="N212" s="469"/>
      <c r="O212" s="469"/>
      <c r="P212" s="469"/>
      <c r="Q212" s="469"/>
      <c r="R212" s="469"/>
      <c r="S212" s="469"/>
      <c r="T212" s="469"/>
      <c r="U212" s="469"/>
      <c r="V212" s="469"/>
      <c r="W212" s="469"/>
      <c r="X212" s="469"/>
      <c r="Y212" s="469"/>
    </row>
    <row r="213" spans="1:25" x14ac:dyDescent="0.35">
      <c r="A213" s="469"/>
      <c r="B213" s="471"/>
      <c r="C213" s="26"/>
      <c r="D213" s="27"/>
      <c r="E213" s="469"/>
      <c r="F213" s="469"/>
      <c r="G213" s="469"/>
      <c r="H213" s="469"/>
      <c r="I213" s="469"/>
      <c r="J213" s="469"/>
      <c r="K213" s="469"/>
      <c r="L213" s="469"/>
      <c r="M213" s="469"/>
      <c r="N213" s="469"/>
      <c r="O213" s="469"/>
      <c r="P213" s="469"/>
      <c r="Q213" s="469"/>
      <c r="R213" s="469"/>
      <c r="S213" s="469"/>
      <c r="T213" s="469"/>
      <c r="U213" s="469"/>
      <c r="V213" s="469"/>
      <c r="W213" s="469"/>
      <c r="X213" s="469"/>
      <c r="Y213" s="469"/>
    </row>
    <row r="214" spans="1:25" x14ac:dyDescent="0.35">
      <c r="A214" s="469" t="s">
        <v>446</v>
      </c>
      <c r="B214" s="471" t="s">
        <v>373</v>
      </c>
      <c r="C214" s="309">
        <v>10</v>
      </c>
      <c r="D214" s="310" t="s">
        <v>185</v>
      </c>
      <c r="E214" s="469"/>
      <c r="F214" s="469"/>
      <c r="G214" s="469"/>
      <c r="H214" s="469"/>
      <c r="I214" s="469"/>
      <c r="J214" s="469"/>
      <c r="K214" s="469"/>
      <c r="L214" s="469"/>
      <c r="M214" s="469"/>
      <c r="N214" s="469"/>
      <c r="O214" s="469"/>
      <c r="P214" s="469"/>
      <c r="Q214" s="469"/>
      <c r="R214" s="469"/>
      <c r="S214" s="469"/>
      <c r="T214" s="469"/>
      <c r="U214" s="469"/>
      <c r="V214" s="469"/>
      <c r="W214" s="469"/>
      <c r="X214" s="469"/>
      <c r="Y214" s="469"/>
    </row>
    <row r="215" spans="1:25" x14ac:dyDescent="0.35">
      <c r="A215" s="469"/>
      <c r="B215" s="471"/>
      <c r="C215" s="26"/>
      <c r="D215" s="27"/>
      <c r="E215" s="469"/>
      <c r="F215" s="469"/>
      <c r="G215" s="469"/>
      <c r="H215" s="469"/>
      <c r="I215" s="469"/>
      <c r="J215" s="469"/>
      <c r="K215" s="469"/>
      <c r="L215" s="469"/>
      <c r="M215" s="469"/>
      <c r="N215" s="469"/>
      <c r="O215" s="469"/>
      <c r="P215" s="469"/>
      <c r="Q215" s="469"/>
      <c r="R215" s="469"/>
      <c r="S215" s="469"/>
      <c r="T215" s="469"/>
      <c r="U215" s="469"/>
      <c r="V215" s="469"/>
      <c r="W215" s="469"/>
      <c r="X215" s="469"/>
      <c r="Y215" s="469"/>
    </row>
    <row r="216" spans="1:25" ht="17" x14ac:dyDescent="0.35">
      <c r="A216" s="469" t="s">
        <v>447</v>
      </c>
      <c r="B216" s="43" t="s">
        <v>373</v>
      </c>
      <c r="C216" s="478">
        <f>C212</f>
        <v>401.01590696430958</v>
      </c>
      <c r="D216" s="476" t="s">
        <v>444</v>
      </c>
      <c r="E216" s="469" t="s">
        <v>437</v>
      </c>
      <c r="F216" s="479">
        <v>4</v>
      </c>
      <c r="G216" s="44">
        <v>0.5</v>
      </c>
      <c r="H216" s="469"/>
      <c r="I216" s="469"/>
      <c r="J216" s="469"/>
      <c r="K216" s="469"/>
      <c r="L216" s="469"/>
      <c r="M216" s="469"/>
      <c r="N216" s="469"/>
      <c r="O216" s="469"/>
      <c r="P216" s="469"/>
      <c r="Q216" s="469"/>
      <c r="R216" s="469"/>
      <c r="S216" s="469"/>
      <c r="T216" s="469"/>
      <c r="U216" s="469"/>
      <c r="V216" s="469"/>
      <c r="W216" s="469"/>
      <c r="X216" s="469"/>
      <c r="Y216" s="469"/>
    </row>
    <row r="217" spans="1:25" x14ac:dyDescent="0.35">
      <c r="A217" s="469"/>
      <c r="B217" s="469"/>
      <c r="C217" s="480">
        <f>C214</f>
        <v>10</v>
      </c>
      <c r="D217" s="469" t="s">
        <v>185</v>
      </c>
      <c r="E217" s="469"/>
      <c r="F217" s="481" t="s">
        <v>448</v>
      </c>
      <c r="G217" s="469"/>
      <c r="H217" s="469"/>
      <c r="I217" s="469"/>
      <c r="J217" s="469"/>
      <c r="K217" s="469"/>
      <c r="L217" s="469"/>
      <c r="M217" s="469"/>
      <c r="N217" s="469"/>
      <c r="O217" s="469"/>
      <c r="P217" s="469"/>
      <c r="Q217" s="469"/>
      <c r="R217" s="469"/>
      <c r="S217" s="469"/>
      <c r="T217" s="469"/>
      <c r="U217" s="469"/>
      <c r="V217" s="469"/>
      <c r="W217" s="469"/>
      <c r="X217" s="469"/>
      <c r="Y217" s="469"/>
    </row>
    <row r="218" spans="1:25" x14ac:dyDescent="0.35">
      <c r="A218" s="469"/>
      <c r="B218" s="43" t="s">
        <v>373</v>
      </c>
      <c r="C218" s="45">
        <f>ROUNDUP(SQRT(C216/C217*F216/PI()),-0.5)</f>
        <v>8</v>
      </c>
      <c r="D218" s="27" t="s">
        <v>185</v>
      </c>
      <c r="E218" s="469"/>
      <c r="F218" s="469"/>
      <c r="G218" s="469"/>
      <c r="H218" s="469"/>
      <c r="I218" s="469"/>
      <c r="J218" s="469"/>
      <c r="K218" s="469"/>
      <c r="L218" s="469"/>
      <c r="M218" s="469"/>
      <c r="N218" s="469"/>
      <c r="O218" s="469"/>
      <c r="P218" s="469"/>
      <c r="Q218" s="469"/>
      <c r="R218" s="469"/>
      <c r="S218" s="469"/>
      <c r="T218" s="469"/>
      <c r="U218" s="469"/>
      <c r="V218" s="469"/>
      <c r="W218" s="469"/>
      <c r="X218" s="469"/>
      <c r="Y218" s="469"/>
    </row>
    <row r="219" spans="1:25" x14ac:dyDescent="0.35">
      <c r="A219" s="62"/>
      <c r="B219" s="63"/>
      <c r="C219" s="58"/>
      <c r="D219" s="35"/>
      <c r="E219" s="35"/>
      <c r="F219" s="35"/>
      <c r="G219" s="35"/>
      <c r="H219" s="35"/>
      <c r="I219" s="35"/>
      <c r="J219" s="35"/>
      <c r="K219" s="473"/>
      <c r="L219" s="473"/>
      <c r="M219" s="473"/>
      <c r="N219" s="473"/>
      <c r="O219" s="473"/>
      <c r="P219" s="473"/>
      <c r="Q219" s="473"/>
      <c r="R219" s="473"/>
      <c r="S219" s="473"/>
      <c r="T219" s="473"/>
      <c r="U219" s="473"/>
      <c r="V219" s="473"/>
      <c r="W219" s="473"/>
      <c r="X219" s="473"/>
      <c r="Y219" s="473"/>
    </row>
    <row r="220" spans="1:25" ht="15.5" x14ac:dyDescent="0.35">
      <c r="A220" s="759" t="s">
        <v>517</v>
      </c>
      <c r="B220" s="759"/>
      <c r="C220" s="759"/>
      <c r="D220" s="759"/>
      <c r="E220" s="759"/>
      <c r="F220" s="759"/>
      <c r="G220" s="759"/>
      <c r="H220" s="759"/>
      <c r="I220" s="759"/>
      <c r="J220" s="759"/>
      <c r="K220" s="33"/>
      <c r="L220" s="473"/>
      <c r="M220" s="473"/>
      <c r="N220" s="33"/>
      <c r="O220" s="473"/>
      <c r="P220" s="473"/>
      <c r="Q220" s="473"/>
      <c r="R220" s="473"/>
      <c r="S220" s="473"/>
      <c r="T220" s="473"/>
      <c r="U220" s="473"/>
      <c r="V220" s="473"/>
      <c r="W220" s="473"/>
      <c r="X220" s="473"/>
      <c r="Y220" s="473"/>
    </row>
    <row r="221" spans="1:25" x14ac:dyDescent="0.35">
      <c r="A221" s="758" t="s">
        <v>518</v>
      </c>
      <c r="B221" s="758"/>
      <c r="C221" s="758"/>
      <c r="D221" s="758"/>
      <c r="E221" s="758"/>
      <c r="F221" s="758"/>
      <c r="G221" s="758"/>
      <c r="H221" s="758"/>
      <c r="I221" s="758"/>
      <c r="J221" s="758"/>
      <c r="K221" s="66"/>
      <c r="L221" s="470"/>
      <c r="M221" s="470"/>
      <c r="N221" s="66"/>
      <c r="O221" s="470"/>
      <c r="P221" s="470"/>
      <c r="Q221" s="470"/>
      <c r="R221" s="470"/>
      <c r="S221" s="470"/>
      <c r="T221" s="470"/>
      <c r="U221" s="470"/>
      <c r="V221" s="470"/>
      <c r="W221" s="470"/>
      <c r="X221" s="470"/>
      <c r="Y221" s="470"/>
    </row>
    <row r="222" spans="1:25" x14ac:dyDescent="0.35">
      <c r="A222" s="473" t="s">
        <v>519</v>
      </c>
      <c r="B222" s="36" t="s">
        <v>373</v>
      </c>
      <c r="C222" s="487">
        <v>5270</v>
      </c>
      <c r="D222" s="488" t="s">
        <v>520</v>
      </c>
      <c r="E222" s="473" t="s">
        <v>437</v>
      </c>
      <c r="F222" s="487">
        <v>1</v>
      </c>
      <c r="G222" s="488" t="s">
        <v>485</v>
      </c>
      <c r="H222" s="473"/>
      <c r="I222" s="473"/>
      <c r="J222" s="473"/>
      <c r="K222" s="473"/>
      <c r="L222" s="473"/>
      <c r="M222" s="473"/>
      <c r="N222" s="473"/>
      <c r="O222" s="473"/>
      <c r="P222" s="473"/>
      <c r="Q222" s="473"/>
      <c r="R222" s="473"/>
      <c r="S222" s="473"/>
      <c r="T222" s="473"/>
      <c r="U222" s="473"/>
      <c r="V222" s="473"/>
      <c r="W222" s="473"/>
      <c r="X222" s="473"/>
      <c r="Y222" s="473"/>
    </row>
    <row r="223" spans="1:25" ht="16" x14ac:dyDescent="0.4">
      <c r="A223" s="53" t="s">
        <v>486</v>
      </c>
      <c r="B223" s="35"/>
      <c r="C223" s="489">
        <v>1</v>
      </c>
      <c r="D223" s="473" t="s">
        <v>485</v>
      </c>
      <c r="E223" s="40"/>
      <c r="F223" s="482">
        <v>10040</v>
      </c>
      <c r="G223" s="473" t="s">
        <v>487</v>
      </c>
      <c r="H223" s="473"/>
      <c r="I223" s="473"/>
      <c r="J223" s="473"/>
      <c r="K223" s="473"/>
      <c r="L223" s="473"/>
      <c r="M223" s="473"/>
      <c r="N223" s="473"/>
      <c r="O223" s="473"/>
      <c r="P223" s="473"/>
      <c r="Q223" s="473"/>
      <c r="R223" s="473"/>
      <c r="S223" s="473"/>
      <c r="T223" s="473"/>
      <c r="U223" s="473"/>
      <c r="V223" s="473"/>
      <c r="W223" s="473"/>
      <c r="X223" s="473"/>
      <c r="Y223" s="473"/>
    </row>
    <row r="224" spans="1:25" ht="17" x14ac:dyDescent="0.45">
      <c r="A224" s="54"/>
      <c r="B224" s="36" t="s">
        <v>373</v>
      </c>
      <c r="C224" s="55">
        <f>C222/F223</f>
        <v>0.52490039840637448</v>
      </c>
      <c r="D224" s="42" t="s">
        <v>521</v>
      </c>
      <c r="E224" s="40"/>
      <c r="F224" s="40"/>
      <c r="G224" s="40"/>
      <c r="H224" s="473"/>
      <c r="I224" s="473"/>
      <c r="J224" s="473"/>
      <c r="K224" s="473"/>
      <c r="L224" s="473"/>
      <c r="M224" s="473"/>
      <c r="N224" s="473"/>
      <c r="O224" s="473"/>
      <c r="P224" s="473"/>
      <c r="Q224" s="473"/>
      <c r="R224" s="473"/>
      <c r="S224" s="473"/>
      <c r="T224" s="473"/>
      <c r="U224" s="473"/>
      <c r="V224" s="473"/>
      <c r="W224" s="473"/>
      <c r="X224" s="473"/>
      <c r="Y224" s="473"/>
    </row>
    <row r="225" spans="1:25" x14ac:dyDescent="0.35">
      <c r="A225" s="40"/>
      <c r="B225" s="473"/>
      <c r="C225" s="473"/>
      <c r="D225" s="473"/>
      <c r="E225" s="473"/>
      <c r="F225" s="473"/>
      <c r="G225" s="473"/>
      <c r="H225" s="40"/>
      <c r="I225" s="40"/>
      <c r="J225" s="40"/>
      <c r="K225" s="40"/>
      <c r="L225" s="40"/>
      <c r="M225" s="40"/>
      <c r="N225" s="40"/>
      <c r="O225" s="40"/>
      <c r="P225" s="40"/>
      <c r="Q225" s="473"/>
      <c r="R225" s="473"/>
      <c r="S225" s="473"/>
      <c r="T225" s="473"/>
      <c r="U225" s="473"/>
      <c r="V225" s="473"/>
      <c r="W225" s="473"/>
      <c r="X225" s="473"/>
      <c r="Y225" s="473"/>
    </row>
    <row r="226" spans="1:25" ht="16" x14ac:dyDescent="0.4">
      <c r="A226" s="473" t="s">
        <v>522</v>
      </c>
      <c r="B226" s="36" t="s">
        <v>373</v>
      </c>
      <c r="C226" s="487">
        <f>C15</f>
        <v>2788.1492617051895</v>
      </c>
      <c r="D226" s="488" t="s">
        <v>487</v>
      </c>
      <c r="E226" s="473" t="s">
        <v>437</v>
      </c>
      <c r="F226" s="490">
        <f>C224</f>
        <v>0.52490039840637448</v>
      </c>
      <c r="G226" s="488" t="s">
        <v>523</v>
      </c>
      <c r="H226" s="40"/>
      <c r="I226" s="40"/>
      <c r="J226" s="40"/>
      <c r="K226" s="40"/>
      <c r="L226" s="40"/>
      <c r="M226" s="40"/>
      <c r="N226" s="40"/>
      <c r="O226" s="40"/>
      <c r="P226" s="40"/>
      <c r="Q226" s="473"/>
      <c r="R226" s="473"/>
      <c r="S226" s="473"/>
      <c r="T226" s="473"/>
      <c r="U226" s="473"/>
      <c r="V226" s="473"/>
      <c r="W226" s="473"/>
      <c r="X226" s="473"/>
      <c r="Y226" s="473"/>
    </row>
    <row r="227" spans="1:25" ht="16" x14ac:dyDescent="0.4">
      <c r="A227" s="40"/>
      <c r="B227" s="35"/>
      <c r="C227" s="489">
        <v>1</v>
      </c>
      <c r="D227" s="473" t="s">
        <v>485</v>
      </c>
      <c r="E227" s="40"/>
      <c r="F227" s="473">
        <v>1</v>
      </c>
      <c r="G227" s="473" t="s">
        <v>491</v>
      </c>
      <c r="H227" s="40"/>
      <c r="I227" s="40"/>
      <c r="J227" s="40"/>
      <c r="K227" s="40"/>
      <c r="L227" s="40"/>
      <c r="M227" s="40"/>
      <c r="N227" s="40"/>
      <c r="O227" s="40"/>
      <c r="P227" s="40"/>
      <c r="Q227" s="473"/>
      <c r="R227" s="473"/>
      <c r="S227" s="473"/>
      <c r="T227" s="473"/>
      <c r="U227" s="473"/>
      <c r="V227" s="473"/>
      <c r="W227" s="473"/>
      <c r="X227" s="473"/>
      <c r="Y227" s="473"/>
    </row>
    <row r="228" spans="1:25" x14ac:dyDescent="0.35">
      <c r="A228" s="40"/>
      <c r="B228" s="36" t="s">
        <v>373</v>
      </c>
      <c r="C228" s="41">
        <f>C226*F226</f>
        <v>1463.5006582854928</v>
      </c>
      <c r="D228" s="42" t="s">
        <v>523</v>
      </c>
      <c r="E228" s="40"/>
      <c r="F228" s="40"/>
      <c r="G228" s="40"/>
      <c r="H228" s="40"/>
      <c r="I228" s="40"/>
      <c r="J228" s="40"/>
      <c r="K228" s="40"/>
      <c r="L228" s="40"/>
      <c r="M228" s="40"/>
      <c r="N228" s="40"/>
      <c r="O228" s="40"/>
      <c r="P228" s="40"/>
      <c r="Q228" s="473"/>
      <c r="R228" s="473"/>
      <c r="S228" s="473"/>
      <c r="T228" s="473"/>
      <c r="U228" s="473"/>
      <c r="V228" s="473"/>
      <c r="W228" s="473"/>
      <c r="X228" s="473"/>
      <c r="Y228" s="473"/>
    </row>
    <row r="229" spans="1:25" x14ac:dyDescent="0.35">
      <c r="A229" s="40"/>
      <c r="B229" s="36"/>
      <c r="C229" s="41"/>
      <c r="D229" s="42"/>
      <c r="E229" s="40"/>
      <c r="F229" s="40"/>
      <c r="G229" s="40"/>
      <c r="H229" s="40"/>
      <c r="I229" s="40"/>
      <c r="J229" s="40"/>
      <c r="K229" s="40"/>
      <c r="L229" s="40"/>
      <c r="M229" s="40"/>
      <c r="N229" s="40"/>
      <c r="O229" s="40"/>
      <c r="P229" s="40"/>
      <c r="Q229" s="473"/>
      <c r="R229" s="473"/>
      <c r="S229" s="473"/>
      <c r="T229" s="473"/>
      <c r="U229" s="473"/>
      <c r="V229" s="473"/>
      <c r="W229" s="473"/>
      <c r="X229" s="473"/>
      <c r="Y229" s="473"/>
    </row>
    <row r="230" spans="1:25" x14ac:dyDescent="0.35">
      <c r="A230" s="470" t="s">
        <v>519</v>
      </c>
      <c r="B230" s="492" t="s">
        <v>373</v>
      </c>
      <c r="C230" s="493">
        <f>C228</f>
        <v>1463.5006582854928</v>
      </c>
      <c r="D230" s="494" t="s">
        <v>520</v>
      </c>
      <c r="E230" s="492" t="s">
        <v>437</v>
      </c>
      <c r="F230" s="495">
        <v>3.7850000000000001</v>
      </c>
      <c r="G230" s="494" t="s">
        <v>485</v>
      </c>
      <c r="H230" s="492" t="s">
        <v>437</v>
      </c>
      <c r="I230" s="493">
        <v>1</v>
      </c>
      <c r="J230" s="494" t="s">
        <v>469</v>
      </c>
      <c r="K230" s="492" t="s">
        <v>437</v>
      </c>
      <c r="L230" s="496">
        <f>C13-C98</f>
        <v>1448</v>
      </c>
      <c r="M230" s="494" t="s">
        <v>243</v>
      </c>
      <c r="N230" s="492" t="s">
        <v>437</v>
      </c>
      <c r="O230" s="493">
        <v>1440</v>
      </c>
      <c r="P230" s="494" t="s">
        <v>438</v>
      </c>
      <c r="Q230" s="470"/>
      <c r="R230" s="470"/>
      <c r="S230" s="470"/>
      <c r="T230" s="470"/>
      <c r="U230" s="470"/>
      <c r="V230" s="473"/>
      <c r="W230" s="473"/>
      <c r="X230" s="473"/>
      <c r="Y230" s="473"/>
    </row>
    <row r="231" spans="1:25" x14ac:dyDescent="0.35">
      <c r="A231" s="470"/>
      <c r="B231" s="492"/>
      <c r="C231" s="492">
        <v>1</v>
      </c>
      <c r="D231" s="492" t="s">
        <v>485</v>
      </c>
      <c r="E231" s="492"/>
      <c r="F231" s="492">
        <v>1</v>
      </c>
      <c r="G231" s="492" t="s">
        <v>243</v>
      </c>
      <c r="H231" s="492"/>
      <c r="I231" s="497">
        <v>454000</v>
      </c>
      <c r="J231" s="492" t="s">
        <v>493</v>
      </c>
      <c r="K231" s="492"/>
      <c r="L231" s="497">
        <v>1</v>
      </c>
      <c r="M231" s="492" t="s">
        <v>438</v>
      </c>
      <c r="N231" s="492"/>
      <c r="O231" s="497">
        <v>1</v>
      </c>
      <c r="P231" s="492" t="s">
        <v>471</v>
      </c>
      <c r="Q231" s="470"/>
      <c r="R231" s="470"/>
      <c r="S231" s="470"/>
      <c r="T231" s="470"/>
      <c r="U231" s="470"/>
      <c r="V231" s="473"/>
      <c r="W231" s="473"/>
      <c r="X231" s="473"/>
      <c r="Y231" s="473"/>
    </row>
    <row r="232" spans="1:25" x14ac:dyDescent="0.35">
      <c r="A232" s="470"/>
      <c r="B232" s="492" t="s">
        <v>373</v>
      </c>
      <c r="C232" s="67">
        <f>C230*F230*L230*O230/I231</f>
        <v>25440.989987901045</v>
      </c>
      <c r="D232" s="68" t="s">
        <v>524</v>
      </c>
      <c r="E232" s="492"/>
      <c r="F232" s="492"/>
      <c r="G232" s="492"/>
      <c r="H232" s="492"/>
      <c r="I232" s="492"/>
      <c r="J232" s="492"/>
      <c r="K232" s="492"/>
      <c r="L232" s="492"/>
      <c r="M232" s="492"/>
      <c r="N232" s="492"/>
      <c r="O232" s="492"/>
      <c r="P232" s="492"/>
      <c r="Q232" s="492"/>
      <c r="R232" s="492"/>
      <c r="S232" s="492"/>
      <c r="T232" s="492"/>
      <c r="U232" s="492"/>
      <c r="V232" s="492"/>
      <c r="W232" s="492"/>
      <c r="X232" s="492"/>
      <c r="Y232" s="473"/>
    </row>
    <row r="233" spans="1:25" x14ac:dyDescent="0.35">
      <c r="A233" s="40"/>
      <c r="B233" s="36"/>
      <c r="C233" s="41"/>
      <c r="D233" s="42"/>
      <c r="E233" s="40"/>
      <c r="F233" s="40"/>
      <c r="G233" s="40"/>
      <c r="H233" s="40"/>
      <c r="I233" s="40"/>
      <c r="J233" s="40"/>
      <c r="K233" s="40"/>
      <c r="L233" s="40"/>
      <c r="M233" s="40"/>
      <c r="N233" s="40"/>
      <c r="O233" s="40"/>
      <c r="P233" s="40"/>
      <c r="Q233" s="473"/>
      <c r="R233" s="473"/>
      <c r="S233" s="473"/>
      <c r="T233" s="473"/>
      <c r="U233" s="473"/>
      <c r="V233" s="473"/>
      <c r="W233" s="473"/>
      <c r="X233" s="473"/>
      <c r="Y233" s="473"/>
    </row>
    <row r="234" spans="1:25" ht="16" x14ac:dyDescent="0.4">
      <c r="A234" s="470" t="s">
        <v>525</v>
      </c>
      <c r="B234" s="492" t="s">
        <v>373</v>
      </c>
      <c r="C234" s="493">
        <f>C232</f>
        <v>25440.989987901045</v>
      </c>
      <c r="D234" s="494" t="s">
        <v>469</v>
      </c>
      <c r="E234" s="492" t="s">
        <v>437</v>
      </c>
      <c r="F234" s="498">
        <v>1</v>
      </c>
      <c r="G234" s="494" t="s">
        <v>470</v>
      </c>
      <c r="H234" s="492" t="s">
        <v>437</v>
      </c>
      <c r="I234" s="494">
        <v>1</v>
      </c>
      <c r="J234" s="494" t="s">
        <v>485</v>
      </c>
      <c r="K234" s="492" t="s">
        <v>437</v>
      </c>
      <c r="L234" s="494">
        <v>1</v>
      </c>
      <c r="M234" s="494" t="s">
        <v>471</v>
      </c>
      <c r="N234" s="492" t="s">
        <v>437</v>
      </c>
      <c r="O234" s="494">
        <v>1</v>
      </c>
      <c r="P234" s="494" t="s">
        <v>526</v>
      </c>
      <c r="Q234" s="492" t="s">
        <v>437</v>
      </c>
      <c r="R234" s="494">
        <v>1</v>
      </c>
      <c r="S234" s="494"/>
      <c r="T234" s="492" t="s">
        <v>437</v>
      </c>
      <c r="U234" s="494">
        <v>1</v>
      </c>
      <c r="V234" s="494" t="s">
        <v>243</v>
      </c>
      <c r="W234" s="470" t="s">
        <v>437</v>
      </c>
      <c r="X234" s="499">
        <v>75</v>
      </c>
      <c r="Y234" s="499" t="s">
        <v>527</v>
      </c>
    </row>
    <row r="235" spans="1:25" x14ac:dyDescent="0.35">
      <c r="A235" s="470" t="s">
        <v>528</v>
      </c>
      <c r="B235" s="492"/>
      <c r="C235" s="497">
        <v>1</v>
      </c>
      <c r="D235" s="492" t="s">
        <v>471</v>
      </c>
      <c r="E235" s="492"/>
      <c r="F235" s="492">
        <v>2.2000000000000002</v>
      </c>
      <c r="G235" s="492" t="s">
        <v>469</v>
      </c>
      <c r="H235" s="492"/>
      <c r="I235" s="492">
        <v>1</v>
      </c>
      <c r="J235" s="492" t="s">
        <v>470</v>
      </c>
      <c r="K235" s="492"/>
      <c r="L235" s="492">
        <v>1440</v>
      </c>
      <c r="M235" s="492" t="s">
        <v>438</v>
      </c>
      <c r="N235" s="492"/>
      <c r="O235" s="500">
        <v>0.1</v>
      </c>
      <c r="P235" s="492" t="s">
        <v>529</v>
      </c>
      <c r="Q235" s="492"/>
      <c r="R235" s="492">
        <v>1.07</v>
      </c>
      <c r="S235" s="492" t="s">
        <v>476</v>
      </c>
      <c r="T235" s="492"/>
      <c r="U235" s="492">
        <v>3.7850000000000001</v>
      </c>
      <c r="V235" s="492" t="s">
        <v>485</v>
      </c>
      <c r="W235" s="470"/>
      <c r="X235" s="470">
        <v>56</v>
      </c>
      <c r="Y235" s="470" t="s">
        <v>520</v>
      </c>
    </row>
    <row r="236" spans="1:25" x14ac:dyDescent="0.35">
      <c r="A236" s="470"/>
      <c r="B236" s="492" t="s">
        <v>373</v>
      </c>
      <c r="C236" s="74">
        <f>ROUNDUP((C234*F234*I234*L234*O234*R234/R235/O235/F235/L235/U235*X234/X235),0)</f>
        <v>27</v>
      </c>
      <c r="D236" s="68" t="s">
        <v>230</v>
      </c>
      <c r="E236" s="492"/>
      <c r="F236" s="492"/>
      <c r="G236" s="492"/>
      <c r="H236" s="492"/>
      <c r="I236" s="492"/>
      <c r="J236" s="492"/>
      <c r="K236" s="492"/>
      <c r="L236" s="492"/>
      <c r="M236" s="492"/>
      <c r="N236" s="492"/>
      <c r="O236" s="492"/>
      <c r="P236" s="492"/>
      <c r="Q236" s="492"/>
      <c r="R236" s="492"/>
      <c r="S236" s="492"/>
      <c r="T236" s="492"/>
      <c r="U236" s="492"/>
      <c r="V236" s="492"/>
      <c r="W236" s="492"/>
      <c r="X236" s="492"/>
      <c r="Y236" s="470"/>
    </row>
    <row r="237" spans="1:25" x14ac:dyDescent="0.35">
      <c r="A237" s="470"/>
      <c r="B237" s="492"/>
      <c r="C237" s="497"/>
      <c r="D237" s="492"/>
      <c r="E237" s="492"/>
      <c r="F237" s="492"/>
      <c r="G237" s="492"/>
      <c r="H237" s="492"/>
      <c r="I237" s="492"/>
      <c r="J237" s="492"/>
      <c r="K237" s="492"/>
      <c r="L237" s="501"/>
      <c r="M237" s="492"/>
      <c r="N237" s="492"/>
      <c r="O237" s="492"/>
      <c r="P237" s="492"/>
      <c r="Q237" s="492"/>
      <c r="R237" s="492"/>
      <c r="S237" s="492"/>
      <c r="T237" s="492"/>
      <c r="U237" s="492"/>
      <c r="V237" s="492"/>
      <c r="W237" s="492"/>
      <c r="X237" s="492"/>
      <c r="Y237" s="470"/>
    </row>
    <row r="238" spans="1:25" x14ac:dyDescent="0.35">
      <c r="A238" s="470" t="s">
        <v>530</v>
      </c>
      <c r="B238" s="492" t="s">
        <v>373</v>
      </c>
      <c r="C238" s="493">
        <f>ROUNDUP(C234,0)</f>
        <v>25441</v>
      </c>
      <c r="D238" s="494" t="s">
        <v>531</v>
      </c>
      <c r="E238" s="492" t="s">
        <v>437</v>
      </c>
      <c r="F238" s="493">
        <v>1</v>
      </c>
      <c r="G238" s="494" t="s">
        <v>471</v>
      </c>
      <c r="H238" s="492" t="s">
        <v>437</v>
      </c>
      <c r="I238" s="493">
        <v>1</v>
      </c>
      <c r="J238" s="494" t="s">
        <v>438</v>
      </c>
      <c r="K238" s="492"/>
      <c r="L238" s="497"/>
      <c r="M238" s="492"/>
      <c r="N238" s="492"/>
      <c r="O238" s="497"/>
      <c r="P238" s="492"/>
      <c r="Q238" s="492"/>
      <c r="R238" s="497"/>
      <c r="S238" s="492"/>
      <c r="T238" s="470"/>
      <c r="U238" s="470"/>
      <c r="V238" s="470"/>
      <c r="W238" s="470"/>
      <c r="X238" s="470"/>
      <c r="Y238" s="470"/>
    </row>
    <row r="239" spans="1:25" x14ac:dyDescent="0.35">
      <c r="A239" s="470"/>
      <c r="B239" s="492"/>
      <c r="C239" s="492">
        <v>1</v>
      </c>
      <c r="D239" s="492" t="s">
        <v>471</v>
      </c>
      <c r="E239" s="492"/>
      <c r="F239" s="497">
        <v>1440</v>
      </c>
      <c r="G239" s="497" t="s">
        <v>438</v>
      </c>
      <c r="H239" s="497"/>
      <c r="I239" s="497">
        <f>C13</f>
        <v>1600</v>
      </c>
      <c r="J239" s="492" t="s">
        <v>243</v>
      </c>
      <c r="K239" s="492"/>
      <c r="L239" s="497"/>
      <c r="M239" s="492"/>
      <c r="N239" s="492"/>
      <c r="O239" s="497"/>
      <c r="P239" s="492"/>
      <c r="Q239" s="492"/>
      <c r="R239" s="497"/>
      <c r="S239" s="492"/>
      <c r="T239" s="470"/>
      <c r="U239" s="470"/>
      <c r="V239" s="470"/>
      <c r="W239" s="470"/>
      <c r="X239" s="470"/>
      <c r="Y239" s="470"/>
    </row>
    <row r="240" spans="1:25" x14ac:dyDescent="0.35">
      <c r="A240" s="470"/>
      <c r="B240" s="492" t="s">
        <v>373</v>
      </c>
      <c r="C240" s="341">
        <f>C238/F239/I239</f>
        <v>1.1042100694444446E-2</v>
      </c>
      <c r="D240" s="69" t="s">
        <v>532</v>
      </c>
      <c r="E240" s="492"/>
      <c r="F240" s="497"/>
      <c r="G240" s="497"/>
      <c r="H240" s="497"/>
      <c r="I240" s="497"/>
      <c r="J240" s="492"/>
      <c r="K240" s="492"/>
      <c r="L240" s="492"/>
      <c r="M240" s="492"/>
      <c r="N240" s="492"/>
      <c r="O240" s="492"/>
      <c r="P240" s="492"/>
      <c r="Q240" s="492"/>
      <c r="R240" s="492"/>
      <c r="S240" s="492"/>
      <c r="T240" s="492"/>
      <c r="U240" s="492"/>
      <c r="V240" s="492"/>
      <c r="W240" s="492"/>
      <c r="X240" s="492"/>
      <c r="Y240" s="470"/>
    </row>
    <row r="241" spans="1:25" x14ac:dyDescent="0.35">
      <c r="A241" s="470"/>
      <c r="B241" s="492"/>
      <c r="C241" s="492"/>
      <c r="D241" s="492"/>
      <c r="E241" s="492"/>
      <c r="F241" s="497"/>
      <c r="G241" s="497"/>
      <c r="H241" s="497"/>
      <c r="I241" s="497"/>
      <c r="J241" s="492"/>
      <c r="K241" s="492"/>
      <c r="L241" s="501"/>
      <c r="M241" s="492"/>
      <c r="N241" s="492"/>
      <c r="O241" s="492"/>
      <c r="P241" s="492"/>
      <c r="Q241" s="492"/>
      <c r="R241" s="492"/>
      <c r="S241" s="492"/>
      <c r="T241" s="492"/>
      <c r="U241" s="492"/>
      <c r="V241" s="492"/>
      <c r="W241" s="492"/>
      <c r="X241" s="492"/>
      <c r="Y241" s="470"/>
    </row>
    <row r="242" spans="1:25" x14ac:dyDescent="0.35">
      <c r="A242" s="470" t="s">
        <v>533</v>
      </c>
      <c r="B242" s="492" t="s">
        <v>373</v>
      </c>
      <c r="C242" s="493">
        <f>C238</f>
        <v>25441</v>
      </c>
      <c r="D242" s="494" t="s">
        <v>534</v>
      </c>
      <c r="E242" s="492" t="s">
        <v>437</v>
      </c>
      <c r="F242" s="493">
        <v>365</v>
      </c>
      <c r="G242" s="493" t="s">
        <v>471</v>
      </c>
      <c r="H242" s="497" t="s">
        <v>437</v>
      </c>
      <c r="I242" s="493">
        <v>1</v>
      </c>
      <c r="J242" s="494" t="s">
        <v>535</v>
      </c>
      <c r="K242" s="470"/>
      <c r="L242" s="470"/>
      <c r="M242" s="470"/>
      <c r="N242" s="470"/>
      <c r="O242" s="470"/>
      <c r="P242" s="470"/>
      <c r="Q242" s="470"/>
      <c r="R242" s="470"/>
      <c r="S242" s="470"/>
      <c r="T242" s="470"/>
      <c r="U242" s="470"/>
      <c r="V242" s="470"/>
      <c r="W242" s="470"/>
      <c r="X242" s="470"/>
      <c r="Y242" s="470"/>
    </row>
    <row r="243" spans="1:25" x14ac:dyDescent="0.35">
      <c r="A243" s="470"/>
      <c r="B243" s="492"/>
      <c r="C243" s="492">
        <v>1</v>
      </c>
      <c r="D243" s="492" t="s">
        <v>471</v>
      </c>
      <c r="E243" s="492"/>
      <c r="F243" s="497">
        <v>1</v>
      </c>
      <c r="G243" s="497" t="s">
        <v>504</v>
      </c>
      <c r="H243" s="497"/>
      <c r="I243" s="497">
        <v>2000</v>
      </c>
      <c r="J243" s="492" t="s">
        <v>536</v>
      </c>
      <c r="K243" s="470"/>
      <c r="L243" s="470"/>
      <c r="M243" s="470"/>
      <c r="N243" s="470"/>
      <c r="O243" s="470"/>
      <c r="P243" s="470"/>
      <c r="Q243" s="470"/>
      <c r="R243" s="470"/>
      <c r="S243" s="470"/>
      <c r="T243" s="470"/>
      <c r="U243" s="470"/>
      <c r="V243" s="470"/>
      <c r="W243" s="470"/>
      <c r="X243" s="470"/>
      <c r="Y243" s="470"/>
    </row>
    <row r="244" spans="1:25" x14ac:dyDescent="0.35">
      <c r="A244" s="470"/>
      <c r="B244" s="492" t="s">
        <v>373</v>
      </c>
      <c r="C244" s="67">
        <f>ROUNDUP((C242*F242/I243),0)</f>
        <v>4643</v>
      </c>
      <c r="D244" s="68" t="s">
        <v>537</v>
      </c>
      <c r="E244" s="492"/>
      <c r="F244" s="492"/>
      <c r="G244" s="492"/>
      <c r="H244" s="492"/>
      <c r="I244" s="492"/>
      <c r="J244" s="492"/>
      <c r="K244" s="492"/>
      <c r="L244" s="501"/>
      <c r="M244" s="492"/>
      <c r="N244" s="492"/>
      <c r="O244" s="492"/>
      <c r="P244" s="492"/>
      <c r="Q244" s="492"/>
      <c r="R244" s="492"/>
      <c r="S244" s="492"/>
      <c r="T244" s="492"/>
      <c r="U244" s="492"/>
      <c r="V244" s="492"/>
      <c r="W244" s="492"/>
      <c r="X244" s="492"/>
      <c r="Y244" s="470"/>
    </row>
    <row r="245" spans="1:25" x14ac:dyDescent="0.35">
      <c r="A245" s="470"/>
      <c r="B245" s="492"/>
      <c r="C245" s="67"/>
      <c r="D245" s="68"/>
      <c r="E245" s="492"/>
      <c r="F245" s="492"/>
      <c r="G245" s="492"/>
      <c r="H245" s="492"/>
      <c r="I245" s="492"/>
      <c r="J245" s="492"/>
      <c r="K245" s="492"/>
      <c r="L245" s="501"/>
      <c r="M245" s="492"/>
      <c r="N245" s="492"/>
      <c r="O245" s="492"/>
      <c r="P245" s="492"/>
      <c r="Q245" s="492"/>
      <c r="R245" s="492"/>
      <c r="S245" s="492"/>
      <c r="T245" s="492"/>
      <c r="U245" s="492"/>
      <c r="V245" s="492"/>
      <c r="W245" s="492"/>
      <c r="X245" s="492"/>
      <c r="Y245" s="470"/>
    </row>
    <row r="246" spans="1:25" x14ac:dyDescent="0.35">
      <c r="A246" s="491" t="s">
        <v>538</v>
      </c>
      <c r="B246" s="36" t="s">
        <v>373</v>
      </c>
      <c r="C246" s="49">
        <f>C236+C98</f>
        <v>179</v>
      </c>
      <c r="D246" s="49" t="s">
        <v>230</v>
      </c>
      <c r="E246" s="35"/>
      <c r="F246" s="35"/>
      <c r="G246" s="35"/>
      <c r="H246" s="492"/>
      <c r="I246" s="492"/>
      <c r="J246" s="492"/>
      <c r="K246" s="492"/>
      <c r="L246" s="501"/>
      <c r="M246" s="492"/>
      <c r="N246" s="492"/>
      <c r="O246" s="492"/>
      <c r="P246" s="492"/>
      <c r="Q246" s="492"/>
      <c r="R246" s="492"/>
      <c r="S246" s="492"/>
      <c r="T246" s="492"/>
      <c r="U246" s="492"/>
      <c r="V246" s="492"/>
      <c r="W246" s="492"/>
      <c r="X246" s="492"/>
      <c r="Y246" s="470"/>
    </row>
    <row r="247" spans="1:25" x14ac:dyDescent="0.35">
      <c r="A247" s="491"/>
      <c r="B247" s="36"/>
      <c r="C247" s="49"/>
      <c r="D247" s="49"/>
      <c r="E247" s="35"/>
      <c r="F247" s="35"/>
      <c r="G247" s="35"/>
      <c r="H247" s="492"/>
      <c r="I247" s="492"/>
      <c r="J247" s="492"/>
      <c r="K247" s="492"/>
      <c r="L247" s="501"/>
      <c r="M247" s="492"/>
      <c r="N247" s="492"/>
      <c r="O247" s="492"/>
      <c r="P247" s="492"/>
      <c r="Q247" s="492"/>
      <c r="R247" s="492"/>
      <c r="S247" s="492"/>
      <c r="T247" s="492"/>
      <c r="U247" s="492"/>
      <c r="V247" s="492"/>
      <c r="W247" s="492"/>
      <c r="X247" s="492"/>
      <c r="Y247" s="470"/>
    </row>
    <row r="248" spans="1:25" x14ac:dyDescent="0.35">
      <c r="A248" s="62" t="s">
        <v>436</v>
      </c>
      <c r="B248" s="63" t="s">
        <v>373</v>
      </c>
      <c r="C248" s="37">
        <f>C246</f>
        <v>179</v>
      </c>
      <c r="D248" s="38" t="s">
        <v>243</v>
      </c>
      <c r="E248" s="35" t="s">
        <v>437</v>
      </c>
      <c r="F248" s="38">
        <v>5</v>
      </c>
      <c r="G248" s="38" t="s">
        <v>438</v>
      </c>
      <c r="H248" s="492"/>
      <c r="I248" s="492"/>
      <c r="J248" s="492"/>
      <c r="K248" s="492"/>
      <c r="L248" s="501"/>
      <c r="M248" s="492"/>
      <c r="N248" s="492"/>
      <c r="O248" s="492"/>
      <c r="P248" s="492"/>
      <c r="Q248" s="492"/>
      <c r="R248" s="492"/>
      <c r="S248" s="492"/>
      <c r="T248" s="492"/>
      <c r="U248" s="492"/>
      <c r="V248" s="492"/>
      <c r="W248" s="492"/>
      <c r="X248" s="492"/>
      <c r="Y248" s="470"/>
    </row>
    <row r="249" spans="1:25" x14ac:dyDescent="0.35">
      <c r="A249" s="62"/>
      <c r="B249" s="63"/>
      <c r="C249" s="58">
        <v>1</v>
      </c>
      <c r="D249" s="35" t="s">
        <v>438</v>
      </c>
      <c r="E249" s="35"/>
      <c r="F249" s="35"/>
      <c r="G249" s="35"/>
      <c r="H249" s="492"/>
      <c r="I249" s="492"/>
      <c r="J249" s="492"/>
      <c r="K249" s="492"/>
      <c r="L249" s="501"/>
      <c r="M249" s="492"/>
      <c r="N249" s="492"/>
      <c r="O249" s="492"/>
      <c r="P249" s="492"/>
      <c r="Q249" s="492"/>
      <c r="R249" s="492"/>
      <c r="S249" s="492"/>
      <c r="T249" s="492"/>
      <c r="U249" s="492"/>
      <c r="V249" s="492"/>
      <c r="W249" s="492"/>
      <c r="X249" s="492"/>
      <c r="Y249" s="470"/>
    </row>
    <row r="250" spans="1:25" x14ac:dyDescent="0.35">
      <c r="A250" s="62"/>
      <c r="B250" s="63" t="s">
        <v>373</v>
      </c>
      <c r="C250" s="64">
        <f>ROUNDUP((C248*F248),-2)</f>
        <v>900</v>
      </c>
      <c r="D250" s="65" t="s">
        <v>243</v>
      </c>
      <c r="E250" s="35"/>
      <c r="F250" s="35"/>
      <c r="G250" s="35"/>
      <c r="H250" s="492"/>
      <c r="I250" s="492"/>
      <c r="J250" s="492"/>
      <c r="K250" s="492"/>
      <c r="L250" s="501"/>
      <c r="M250" s="492"/>
      <c r="N250" s="492"/>
      <c r="O250" s="492"/>
      <c r="P250" s="492"/>
      <c r="Q250" s="492"/>
      <c r="R250" s="492"/>
      <c r="S250" s="492"/>
      <c r="T250" s="492"/>
      <c r="U250" s="492"/>
      <c r="V250" s="492"/>
      <c r="W250" s="492"/>
      <c r="X250" s="492"/>
      <c r="Y250" s="470"/>
    </row>
    <row r="251" spans="1:25" x14ac:dyDescent="0.35">
      <c r="A251" s="62"/>
      <c r="B251" s="63"/>
      <c r="C251" s="58"/>
      <c r="D251" s="35"/>
      <c r="E251" s="35"/>
      <c r="F251" s="35"/>
      <c r="G251" s="35"/>
      <c r="H251" s="492"/>
      <c r="I251" s="492"/>
      <c r="J251" s="492"/>
      <c r="K251" s="492"/>
      <c r="L251" s="501"/>
      <c r="M251" s="492"/>
      <c r="N251" s="492"/>
      <c r="O251" s="492"/>
      <c r="P251" s="492"/>
      <c r="Q251" s="492"/>
      <c r="R251" s="492"/>
      <c r="S251" s="492"/>
      <c r="T251" s="492"/>
      <c r="U251" s="492"/>
      <c r="V251" s="492"/>
      <c r="W251" s="492"/>
      <c r="X251" s="492"/>
      <c r="Y251" s="470"/>
    </row>
    <row r="252" spans="1:25" ht="17" x14ac:dyDescent="0.35">
      <c r="A252" s="469"/>
      <c r="B252" s="471" t="s">
        <v>373</v>
      </c>
      <c r="C252" s="475">
        <f>C250</f>
        <v>900</v>
      </c>
      <c r="D252" s="476" t="s">
        <v>243</v>
      </c>
      <c r="E252" s="469" t="s">
        <v>437</v>
      </c>
      <c r="F252" s="476">
        <v>1</v>
      </c>
      <c r="G252" s="476" t="s">
        <v>444</v>
      </c>
      <c r="H252" s="492"/>
      <c r="I252" s="492"/>
      <c r="J252" s="492"/>
      <c r="K252" s="492"/>
      <c r="L252" s="501"/>
      <c r="M252" s="492"/>
      <c r="N252" s="492"/>
      <c r="O252" s="492"/>
      <c r="P252" s="492"/>
      <c r="Q252" s="492"/>
      <c r="R252" s="492"/>
      <c r="S252" s="492"/>
      <c r="T252" s="492"/>
      <c r="U252" s="492"/>
      <c r="V252" s="492"/>
      <c r="W252" s="492"/>
      <c r="X252" s="492"/>
      <c r="Y252" s="470"/>
    </row>
    <row r="253" spans="1:25" x14ac:dyDescent="0.35">
      <c r="A253" s="469"/>
      <c r="B253" s="471"/>
      <c r="C253" s="26"/>
      <c r="D253" s="27"/>
      <c r="E253" s="469"/>
      <c r="F253" s="477">
        <v>7.4809999999999999</v>
      </c>
      <c r="G253" s="469" t="s">
        <v>243</v>
      </c>
      <c r="H253" s="492"/>
      <c r="I253" s="492"/>
      <c r="J253" s="492"/>
      <c r="K253" s="492"/>
      <c r="L253" s="501"/>
      <c r="M253" s="492"/>
      <c r="N253" s="492"/>
      <c r="O253" s="492"/>
      <c r="P253" s="492"/>
      <c r="Q253" s="492"/>
      <c r="R253" s="492"/>
      <c r="S253" s="492"/>
      <c r="T253" s="492"/>
      <c r="U253" s="492"/>
      <c r="V253" s="492"/>
      <c r="W253" s="492"/>
      <c r="X253" s="492"/>
      <c r="Y253" s="470"/>
    </row>
    <row r="254" spans="1:25" ht="16.5" x14ac:dyDescent="0.35">
      <c r="A254" s="469"/>
      <c r="B254" s="471" t="s">
        <v>373</v>
      </c>
      <c r="C254" s="26">
        <f>C252/F253</f>
        <v>120.30477208929288</v>
      </c>
      <c r="D254" s="27" t="s">
        <v>445</v>
      </c>
      <c r="E254" s="469"/>
      <c r="F254" s="469"/>
      <c r="G254" s="469"/>
      <c r="H254" s="492"/>
      <c r="I254" s="492"/>
      <c r="J254" s="492"/>
      <c r="K254" s="492"/>
      <c r="L254" s="501"/>
      <c r="M254" s="492"/>
      <c r="N254" s="492"/>
      <c r="O254" s="492"/>
      <c r="P254" s="492"/>
      <c r="Q254" s="492"/>
      <c r="R254" s="492"/>
      <c r="S254" s="492"/>
      <c r="T254" s="492"/>
      <c r="U254" s="492"/>
      <c r="V254" s="492"/>
      <c r="W254" s="492"/>
      <c r="X254" s="492"/>
      <c r="Y254" s="470"/>
    </row>
    <row r="255" spans="1:25" x14ac:dyDescent="0.35">
      <c r="A255" s="469"/>
      <c r="B255" s="471"/>
      <c r="C255" s="26"/>
      <c r="D255" s="27"/>
      <c r="E255" s="469"/>
      <c r="F255" s="469"/>
      <c r="G255" s="469"/>
      <c r="H255" s="492"/>
      <c r="I255" s="492"/>
      <c r="J255" s="492"/>
      <c r="K255" s="492"/>
      <c r="L255" s="501"/>
      <c r="M255" s="492"/>
      <c r="N255" s="492"/>
      <c r="O255" s="492"/>
      <c r="P255" s="492"/>
      <c r="Q255" s="492"/>
      <c r="R255" s="492"/>
      <c r="S255" s="492"/>
      <c r="T255" s="492"/>
      <c r="U255" s="492"/>
      <c r="V255" s="492"/>
      <c r="W255" s="492"/>
      <c r="X255" s="492"/>
      <c r="Y255" s="470"/>
    </row>
    <row r="256" spans="1:25" x14ac:dyDescent="0.35">
      <c r="A256" s="469" t="s">
        <v>446</v>
      </c>
      <c r="B256" s="471" t="s">
        <v>373</v>
      </c>
      <c r="C256" s="309">
        <v>6</v>
      </c>
      <c r="D256" s="310" t="s">
        <v>185</v>
      </c>
      <c r="E256" s="469"/>
      <c r="F256" s="469"/>
      <c r="G256" s="469"/>
      <c r="H256" s="492"/>
      <c r="I256" s="492"/>
      <c r="J256" s="492"/>
      <c r="K256" s="492"/>
      <c r="L256" s="501"/>
      <c r="M256" s="492"/>
      <c r="N256" s="492"/>
      <c r="O256" s="492"/>
      <c r="P256" s="492"/>
      <c r="Q256" s="492"/>
      <c r="R256" s="492"/>
      <c r="S256" s="492"/>
      <c r="T256" s="492"/>
      <c r="U256" s="492"/>
      <c r="V256" s="492"/>
      <c r="W256" s="492"/>
      <c r="X256" s="492"/>
      <c r="Y256" s="470"/>
    </row>
    <row r="257" spans="1:25" x14ac:dyDescent="0.35">
      <c r="A257" s="469"/>
      <c r="B257" s="471"/>
      <c r="C257" s="26"/>
      <c r="D257" s="27"/>
      <c r="E257" s="469"/>
      <c r="F257" s="469"/>
      <c r="G257" s="469"/>
      <c r="H257" s="492"/>
      <c r="I257" s="492"/>
      <c r="J257" s="492"/>
      <c r="K257" s="492"/>
      <c r="L257" s="501"/>
      <c r="M257" s="492"/>
      <c r="N257" s="492"/>
      <c r="O257" s="492"/>
      <c r="P257" s="492"/>
      <c r="Q257" s="492"/>
      <c r="R257" s="492"/>
      <c r="S257" s="492"/>
      <c r="T257" s="492"/>
      <c r="U257" s="492"/>
      <c r="V257" s="492"/>
      <c r="W257" s="492"/>
      <c r="X257" s="492"/>
      <c r="Y257" s="470"/>
    </row>
    <row r="258" spans="1:25" ht="17" x14ac:dyDescent="0.35">
      <c r="A258" s="469" t="s">
        <v>447</v>
      </c>
      <c r="B258" s="43" t="s">
        <v>373</v>
      </c>
      <c r="C258" s="478">
        <f>C254</f>
        <v>120.30477208929288</v>
      </c>
      <c r="D258" s="476" t="s">
        <v>444</v>
      </c>
      <c r="E258" s="469" t="s">
        <v>437</v>
      </c>
      <c r="F258" s="479">
        <v>4</v>
      </c>
      <c r="G258" s="44">
        <v>0.5</v>
      </c>
      <c r="H258" s="492"/>
      <c r="I258" s="492"/>
      <c r="J258" s="492"/>
      <c r="K258" s="492"/>
      <c r="L258" s="501"/>
      <c r="M258" s="492"/>
      <c r="N258" s="492"/>
      <c r="O258" s="492"/>
      <c r="P258" s="492"/>
      <c r="Q258" s="492"/>
      <c r="R258" s="492"/>
      <c r="S258" s="492"/>
      <c r="T258" s="492"/>
      <c r="U258" s="492"/>
      <c r="V258" s="492"/>
      <c r="W258" s="492"/>
      <c r="X258" s="492"/>
      <c r="Y258" s="470"/>
    </row>
    <row r="259" spans="1:25" x14ac:dyDescent="0.35">
      <c r="A259" s="469"/>
      <c r="B259" s="469"/>
      <c r="C259" s="480">
        <f>C256</f>
        <v>6</v>
      </c>
      <c r="D259" s="469" t="s">
        <v>185</v>
      </c>
      <c r="E259" s="469"/>
      <c r="F259" s="481" t="s">
        <v>448</v>
      </c>
      <c r="G259" s="469"/>
      <c r="H259" s="492"/>
      <c r="I259" s="492"/>
      <c r="J259" s="492"/>
      <c r="K259" s="492"/>
      <c r="L259" s="501"/>
      <c r="M259" s="492"/>
      <c r="N259" s="492"/>
      <c r="O259" s="492"/>
      <c r="P259" s="492"/>
      <c r="Q259" s="492"/>
      <c r="R259" s="492"/>
      <c r="S259" s="492"/>
      <c r="T259" s="492"/>
      <c r="U259" s="492"/>
      <c r="V259" s="492"/>
      <c r="W259" s="492"/>
      <c r="X259" s="492"/>
      <c r="Y259" s="470"/>
    </row>
    <row r="260" spans="1:25" x14ac:dyDescent="0.35">
      <c r="A260" s="469"/>
      <c r="B260" s="43" t="s">
        <v>373</v>
      </c>
      <c r="C260" s="45">
        <f>ROUNDUP(SQRT(C258/C259*F258/PI()),-0.5)</f>
        <v>6</v>
      </c>
      <c r="D260" s="27" t="s">
        <v>185</v>
      </c>
      <c r="E260" s="469"/>
      <c r="F260" s="469"/>
      <c r="G260" s="469"/>
      <c r="H260" s="492"/>
      <c r="I260" s="492"/>
      <c r="J260" s="492"/>
      <c r="K260" s="492"/>
      <c r="L260" s="501"/>
      <c r="M260" s="492"/>
      <c r="N260" s="492"/>
      <c r="O260" s="492"/>
      <c r="P260" s="492"/>
      <c r="Q260" s="492"/>
      <c r="R260" s="492"/>
      <c r="S260" s="492"/>
      <c r="T260" s="492"/>
      <c r="U260" s="492"/>
      <c r="V260" s="492"/>
      <c r="W260" s="492"/>
      <c r="X260" s="492"/>
      <c r="Y260" s="470"/>
    </row>
    <row r="261" spans="1:25" x14ac:dyDescent="0.35">
      <c r="A261" s="468"/>
      <c r="B261" s="468"/>
      <c r="C261" s="502"/>
      <c r="D261" s="468"/>
      <c r="E261" s="468"/>
      <c r="F261" s="468"/>
      <c r="G261" s="468"/>
      <c r="H261" s="468"/>
      <c r="I261" s="468"/>
      <c r="J261" s="468"/>
      <c r="K261" s="468"/>
      <c r="L261" s="468"/>
      <c r="M261" s="468"/>
      <c r="N261" s="468"/>
      <c r="O261" s="468"/>
      <c r="P261" s="468"/>
      <c r="Q261" s="468"/>
      <c r="R261" s="468"/>
      <c r="S261" s="468"/>
      <c r="T261" s="468"/>
      <c r="U261" s="468"/>
      <c r="V261" s="468"/>
      <c r="W261" s="468"/>
      <c r="X261" s="468"/>
      <c r="Y261" s="468"/>
    </row>
    <row r="262" spans="1:25" x14ac:dyDescent="0.35">
      <c r="A262" s="758" t="s">
        <v>539</v>
      </c>
      <c r="B262" s="758"/>
      <c r="C262" s="758"/>
      <c r="D262" s="758"/>
      <c r="E262" s="758"/>
      <c r="F262" s="758"/>
      <c r="G262" s="758"/>
      <c r="H262" s="758"/>
      <c r="I262" s="758"/>
      <c r="J262" s="758"/>
      <c r="K262" s="66"/>
      <c r="L262" s="470"/>
      <c r="M262" s="470"/>
      <c r="N262" s="66"/>
      <c r="O262" s="470"/>
      <c r="P262" s="470"/>
      <c r="Q262" s="470"/>
      <c r="R262" s="470"/>
      <c r="S262" s="470"/>
      <c r="T262" s="470"/>
      <c r="U262" s="470"/>
      <c r="V262" s="470"/>
      <c r="W262" s="470"/>
      <c r="X262" s="470"/>
      <c r="Y262" s="470"/>
    </row>
    <row r="263" spans="1:25" x14ac:dyDescent="0.35">
      <c r="A263" s="470" t="s">
        <v>540</v>
      </c>
      <c r="B263" s="492" t="s">
        <v>373</v>
      </c>
      <c r="C263" s="493">
        <v>10</v>
      </c>
      <c r="D263" s="494" t="s">
        <v>493</v>
      </c>
      <c r="E263" s="492" t="s">
        <v>437</v>
      </c>
      <c r="F263" s="503">
        <v>3.7850000000000001</v>
      </c>
      <c r="G263" s="494" t="s">
        <v>485</v>
      </c>
      <c r="H263" s="492" t="s">
        <v>437</v>
      </c>
      <c r="I263" s="493">
        <f>I239</f>
        <v>1600</v>
      </c>
      <c r="J263" s="494" t="s">
        <v>243</v>
      </c>
      <c r="K263" s="492" t="s">
        <v>437</v>
      </c>
      <c r="L263" s="494">
        <v>1</v>
      </c>
      <c r="M263" s="494" t="s">
        <v>469</v>
      </c>
      <c r="N263" s="470"/>
      <c r="O263" s="470"/>
      <c r="P263" s="470"/>
      <c r="Q263" s="470"/>
      <c r="R263" s="470"/>
      <c r="S263" s="470"/>
      <c r="T263" s="492"/>
      <c r="U263" s="492"/>
      <c r="V263" s="470"/>
      <c r="W263" s="470"/>
      <c r="X263" s="470"/>
      <c r="Y263" s="470"/>
    </row>
    <row r="264" spans="1:25" x14ac:dyDescent="0.35">
      <c r="A264" s="29" t="s">
        <v>541</v>
      </c>
      <c r="B264" s="492"/>
      <c r="C264" s="492">
        <v>1</v>
      </c>
      <c r="D264" s="492" t="s">
        <v>485</v>
      </c>
      <c r="E264" s="492"/>
      <c r="F264" s="492">
        <v>1</v>
      </c>
      <c r="G264" s="492" t="s">
        <v>243</v>
      </c>
      <c r="H264" s="492"/>
      <c r="I264" s="501"/>
      <c r="J264" s="492" t="s">
        <v>438</v>
      </c>
      <c r="K264" s="492"/>
      <c r="L264" s="497">
        <v>453600</v>
      </c>
      <c r="M264" s="492" t="s">
        <v>493</v>
      </c>
      <c r="N264" s="470"/>
      <c r="O264" s="470"/>
      <c r="P264" s="470"/>
      <c r="Q264" s="470"/>
      <c r="R264" s="470"/>
      <c r="S264" s="470"/>
      <c r="T264" s="492"/>
      <c r="U264" s="492"/>
      <c r="V264" s="470"/>
      <c r="W264" s="470"/>
      <c r="X264" s="470"/>
      <c r="Y264" s="470"/>
    </row>
    <row r="265" spans="1:25" x14ac:dyDescent="0.35">
      <c r="A265" s="470" t="s">
        <v>542</v>
      </c>
      <c r="B265" s="492" t="s">
        <v>373</v>
      </c>
      <c r="C265" s="70">
        <f>C263*F263*I263/L264</f>
        <v>0.13350970017636685</v>
      </c>
      <c r="D265" s="68" t="s">
        <v>543</v>
      </c>
      <c r="E265" s="492"/>
      <c r="F265" s="492"/>
      <c r="G265" s="492"/>
      <c r="H265" s="492"/>
      <c r="I265" s="492"/>
      <c r="J265" s="492"/>
      <c r="K265" s="492"/>
      <c r="L265" s="501"/>
      <c r="M265" s="492"/>
      <c r="N265" s="492"/>
      <c r="O265" s="492"/>
      <c r="P265" s="492"/>
      <c r="Q265" s="492"/>
      <c r="R265" s="492"/>
      <c r="S265" s="492"/>
      <c r="T265" s="492"/>
      <c r="U265" s="492"/>
      <c r="V265" s="492"/>
      <c r="W265" s="492"/>
      <c r="X265" s="492"/>
      <c r="Y265" s="470"/>
    </row>
    <row r="266" spans="1:25" x14ac:dyDescent="0.35">
      <c r="A266" s="470"/>
      <c r="B266" s="492"/>
      <c r="C266" s="67"/>
      <c r="D266" s="68"/>
      <c r="E266" s="492"/>
      <c r="F266" s="492"/>
      <c r="G266" s="492"/>
      <c r="H266" s="492"/>
      <c r="I266" s="492"/>
      <c r="J266" s="492"/>
      <c r="K266" s="492"/>
      <c r="L266" s="501"/>
      <c r="M266" s="492"/>
      <c r="N266" s="492"/>
      <c r="O266" s="492"/>
      <c r="P266" s="492"/>
      <c r="Q266" s="492"/>
      <c r="R266" s="492"/>
      <c r="S266" s="492"/>
      <c r="T266" s="492"/>
      <c r="U266" s="492"/>
      <c r="V266" s="492"/>
      <c r="W266" s="492"/>
      <c r="X266" s="492"/>
      <c r="Y266" s="470"/>
    </row>
    <row r="267" spans="1:25" x14ac:dyDescent="0.35">
      <c r="A267" s="470" t="s">
        <v>544</v>
      </c>
      <c r="B267" s="492" t="s">
        <v>373</v>
      </c>
      <c r="C267" s="504">
        <f>C265</f>
        <v>0.13350970017636685</v>
      </c>
      <c r="D267" s="494" t="s">
        <v>469</v>
      </c>
      <c r="E267" s="492" t="s">
        <v>437</v>
      </c>
      <c r="F267" s="494"/>
      <c r="G267" s="494"/>
      <c r="H267" s="492" t="s">
        <v>437</v>
      </c>
      <c r="I267" s="494">
        <v>1440</v>
      </c>
      <c r="J267" s="494" t="s">
        <v>438</v>
      </c>
      <c r="K267" s="492" t="s">
        <v>437</v>
      </c>
      <c r="L267" s="494">
        <v>365</v>
      </c>
      <c r="M267" s="494" t="s">
        <v>202</v>
      </c>
      <c r="N267" s="470"/>
      <c r="O267" s="470"/>
      <c r="P267" s="470"/>
      <c r="Q267" s="470"/>
      <c r="R267" s="470"/>
      <c r="S267" s="470"/>
      <c r="T267" s="470"/>
      <c r="U267" s="470"/>
      <c r="V267" s="470"/>
      <c r="W267" s="470"/>
      <c r="X267" s="470"/>
      <c r="Y267" s="470"/>
    </row>
    <row r="268" spans="1:25" x14ac:dyDescent="0.35">
      <c r="A268" s="470"/>
      <c r="B268" s="492"/>
      <c r="C268" s="492">
        <v>1</v>
      </c>
      <c r="D268" s="492" t="s">
        <v>438</v>
      </c>
      <c r="E268" s="492"/>
      <c r="F268" s="497">
        <f>I263</f>
        <v>1600</v>
      </c>
      <c r="G268" s="492" t="s">
        <v>230</v>
      </c>
      <c r="H268" s="492"/>
      <c r="I268" s="492">
        <v>1</v>
      </c>
      <c r="J268" s="492" t="s">
        <v>202</v>
      </c>
      <c r="K268" s="492"/>
      <c r="L268" s="492">
        <v>1</v>
      </c>
      <c r="M268" s="492" t="s">
        <v>504</v>
      </c>
      <c r="N268" s="470"/>
      <c r="O268" s="470"/>
      <c r="P268" s="470"/>
      <c r="Q268" s="470"/>
      <c r="R268" s="470"/>
      <c r="S268" s="470"/>
      <c r="T268" s="470"/>
      <c r="U268" s="470"/>
      <c r="V268" s="470"/>
      <c r="W268" s="470"/>
      <c r="X268" s="470"/>
      <c r="Y268" s="470"/>
    </row>
    <row r="269" spans="1:25" x14ac:dyDescent="0.35">
      <c r="A269" s="470"/>
      <c r="B269" s="492" t="s">
        <v>373</v>
      </c>
      <c r="C269" s="71">
        <f>C267/F268*I267*L267</f>
        <v>43.857936507936515</v>
      </c>
      <c r="D269" s="69" t="s">
        <v>545</v>
      </c>
      <c r="E269" s="492"/>
      <c r="F269" s="492"/>
      <c r="G269" s="492"/>
      <c r="H269" s="492"/>
      <c r="I269" s="492"/>
      <c r="J269" s="492"/>
      <c r="K269" s="492"/>
      <c r="L269" s="492"/>
      <c r="M269" s="492"/>
      <c r="N269" s="492"/>
      <c r="O269" s="492"/>
      <c r="P269" s="492"/>
      <c r="Q269" s="492"/>
      <c r="R269" s="492"/>
      <c r="S269" s="492"/>
      <c r="T269" s="492"/>
      <c r="U269" s="492"/>
      <c r="V269" s="492"/>
      <c r="W269" s="492"/>
      <c r="X269" s="492"/>
      <c r="Y269" s="470"/>
    </row>
    <row r="270" spans="1:25" x14ac:dyDescent="0.35">
      <c r="A270" s="469"/>
      <c r="B270" s="471"/>
      <c r="C270" s="72"/>
      <c r="D270" s="27"/>
      <c r="E270" s="469"/>
      <c r="F270" s="469"/>
      <c r="G270" s="469"/>
      <c r="H270" s="469"/>
      <c r="I270" s="469"/>
      <c r="J270" s="469"/>
      <c r="K270" s="469"/>
      <c r="L270" s="469"/>
      <c r="M270" s="469"/>
      <c r="N270" s="469"/>
      <c r="O270" s="469"/>
      <c r="P270" s="469"/>
      <c r="Q270" s="469"/>
      <c r="R270" s="469"/>
      <c r="S270" s="469"/>
      <c r="T270" s="469"/>
      <c r="U270" s="469"/>
      <c r="V270" s="469"/>
      <c r="W270" s="469"/>
      <c r="X270" s="469"/>
      <c r="Y270" s="469"/>
    </row>
    <row r="271" spans="1:25" x14ac:dyDescent="0.35">
      <c r="A271" s="470" t="s">
        <v>546</v>
      </c>
      <c r="B271" s="492" t="s">
        <v>373</v>
      </c>
      <c r="C271" s="504">
        <f>C265</f>
        <v>0.13350970017636685</v>
      </c>
      <c r="D271" s="494" t="s">
        <v>469</v>
      </c>
      <c r="E271" s="492" t="s">
        <v>437</v>
      </c>
      <c r="F271" s="498">
        <v>1</v>
      </c>
      <c r="G271" s="494" t="s">
        <v>470</v>
      </c>
      <c r="H271" s="492" t="s">
        <v>437</v>
      </c>
      <c r="I271" s="494">
        <v>1</v>
      </c>
      <c r="J271" s="494" t="s">
        <v>485</v>
      </c>
      <c r="K271" s="492" t="s">
        <v>437</v>
      </c>
      <c r="L271" s="494">
        <v>60</v>
      </c>
      <c r="M271" s="494" t="s">
        <v>438</v>
      </c>
      <c r="N271" s="492" t="s">
        <v>437</v>
      </c>
      <c r="O271" s="494">
        <v>1</v>
      </c>
      <c r="P271" s="494" t="s">
        <v>526</v>
      </c>
      <c r="Q271" s="492" t="s">
        <v>437</v>
      </c>
      <c r="R271" s="494">
        <v>1</v>
      </c>
      <c r="S271" s="494"/>
      <c r="T271" s="492" t="s">
        <v>437</v>
      </c>
      <c r="U271" s="494">
        <v>1</v>
      </c>
      <c r="V271" s="494" t="s">
        <v>243</v>
      </c>
      <c r="W271" s="470"/>
      <c r="X271" s="470"/>
      <c r="Y271" s="470"/>
    </row>
    <row r="272" spans="1:25" x14ac:dyDescent="0.35">
      <c r="A272" s="470"/>
      <c r="B272" s="492"/>
      <c r="C272" s="492">
        <v>1</v>
      </c>
      <c r="D272" s="492" t="s">
        <v>438</v>
      </c>
      <c r="E272" s="492"/>
      <c r="F272" s="492">
        <v>2.2000000000000002</v>
      </c>
      <c r="G272" s="492" t="s">
        <v>469</v>
      </c>
      <c r="H272" s="492"/>
      <c r="I272" s="492">
        <v>1</v>
      </c>
      <c r="J272" s="492" t="s">
        <v>470</v>
      </c>
      <c r="K272" s="492"/>
      <c r="L272" s="492">
        <v>1</v>
      </c>
      <c r="M272" s="492" t="s">
        <v>547</v>
      </c>
      <c r="N272" s="492"/>
      <c r="O272" s="500">
        <v>1</v>
      </c>
      <c r="P272" s="492" t="s">
        <v>529</v>
      </c>
      <c r="Q272" s="492"/>
      <c r="R272" s="492">
        <v>1</v>
      </c>
      <c r="S272" s="492" t="s">
        <v>476</v>
      </c>
      <c r="T272" s="492"/>
      <c r="U272" s="492">
        <v>3.7850000000000001</v>
      </c>
      <c r="V272" s="492" t="s">
        <v>485</v>
      </c>
      <c r="W272" s="470"/>
      <c r="X272" s="470"/>
      <c r="Y272" s="470"/>
    </row>
    <row r="273" spans="1:25" x14ac:dyDescent="0.35">
      <c r="A273" s="470"/>
      <c r="B273" s="492" t="s">
        <v>373</v>
      </c>
      <c r="C273" s="73">
        <f>ROUNDUP((C271*L271/F272/O272/U272),2)</f>
        <v>0.97</v>
      </c>
      <c r="D273" s="68" t="s">
        <v>262</v>
      </c>
      <c r="E273" s="492"/>
      <c r="F273" s="492"/>
      <c r="G273" s="492"/>
      <c r="H273" s="492"/>
      <c r="I273" s="492"/>
      <c r="J273" s="492"/>
      <c r="K273" s="492"/>
      <c r="L273" s="492"/>
      <c r="M273" s="492"/>
      <c r="N273" s="492"/>
      <c r="O273" s="492"/>
      <c r="P273" s="492"/>
      <c r="Q273" s="492"/>
      <c r="R273" s="492"/>
      <c r="S273" s="492"/>
      <c r="T273" s="492"/>
      <c r="U273" s="492"/>
      <c r="V273" s="492"/>
      <c r="W273" s="492"/>
      <c r="X273" s="492"/>
      <c r="Y273" s="470"/>
    </row>
    <row r="274" spans="1:25" x14ac:dyDescent="0.35">
      <c r="A274" s="470"/>
      <c r="B274" s="492"/>
      <c r="C274" s="73"/>
      <c r="D274" s="68"/>
      <c r="E274" s="492"/>
      <c r="F274" s="492"/>
      <c r="G274" s="492"/>
      <c r="H274" s="492"/>
      <c r="I274" s="492"/>
      <c r="J274" s="492"/>
      <c r="K274" s="492"/>
      <c r="L274" s="492"/>
      <c r="M274" s="492"/>
      <c r="N274" s="492"/>
      <c r="O274" s="492"/>
      <c r="P274" s="492"/>
      <c r="Q274" s="492"/>
      <c r="R274" s="492"/>
      <c r="S274" s="492"/>
      <c r="T274" s="492"/>
      <c r="U274" s="492"/>
      <c r="V274" s="492"/>
      <c r="W274" s="492"/>
      <c r="X274" s="492"/>
      <c r="Y274" s="470"/>
    </row>
    <row r="275" spans="1:25" x14ac:dyDescent="0.35">
      <c r="A275" s="758" t="s">
        <v>548</v>
      </c>
      <c r="B275" s="758"/>
      <c r="C275" s="758"/>
      <c r="D275" s="758"/>
      <c r="E275" s="758"/>
      <c r="F275" s="758"/>
      <c r="G275" s="758"/>
      <c r="H275" s="758"/>
      <c r="I275" s="758"/>
      <c r="J275" s="758"/>
      <c r="K275" s="66"/>
      <c r="L275" s="470"/>
      <c r="M275" s="470"/>
      <c r="N275" s="66"/>
      <c r="O275" s="470"/>
      <c r="P275" s="470"/>
      <c r="Q275" s="470"/>
      <c r="R275" s="470"/>
      <c r="S275" s="470"/>
      <c r="T275" s="470"/>
      <c r="U275" s="470"/>
      <c r="V275" s="470"/>
      <c r="W275" s="470"/>
      <c r="X275" s="470"/>
      <c r="Y275" s="470"/>
    </row>
    <row r="276" spans="1:25" x14ac:dyDescent="0.35">
      <c r="A276" s="66"/>
      <c r="B276" s="66"/>
      <c r="C276" s="66"/>
      <c r="D276" s="66"/>
      <c r="E276" s="66"/>
      <c r="F276" s="66"/>
      <c r="G276" s="66"/>
      <c r="H276" s="66"/>
      <c r="I276" s="66"/>
      <c r="J276" s="66"/>
      <c r="K276" s="66"/>
      <c r="L276" s="470"/>
      <c r="M276" s="470"/>
      <c r="N276" s="66"/>
      <c r="O276" s="470"/>
      <c r="P276" s="470"/>
      <c r="Q276" s="470"/>
      <c r="R276" s="470"/>
      <c r="S276" s="470"/>
      <c r="T276" s="470"/>
      <c r="U276" s="470"/>
      <c r="V276" s="470"/>
      <c r="W276" s="470"/>
      <c r="X276" s="470"/>
      <c r="Y276" s="470"/>
    </row>
    <row r="277" spans="1:25" x14ac:dyDescent="0.35">
      <c r="A277" s="470" t="s">
        <v>549</v>
      </c>
      <c r="B277" s="492"/>
      <c r="C277" s="73"/>
      <c r="D277" s="68"/>
      <c r="E277" s="492"/>
      <c r="F277" s="492"/>
      <c r="G277" s="492"/>
      <c r="H277" s="492"/>
      <c r="I277" s="492"/>
      <c r="J277" s="492"/>
      <c r="K277" s="492"/>
      <c r="L277" s="492"/>
      <c r="M277" s="492"/>
      <c r="N277" s="492"/>
      <c r="O277" s="492"/>
      <c r="P277" s="492"/>
      <c r="Q277" s="492"/>
      <c r="R277" s="492"/>
      <c r="S277" s="492"/>
      <c r="T277" s="492"/>
      <c r="U277" s="492"/>
      <c r="V277" s="492"/>
      <c r="W277" s="492"/>
      <c r="X277" s="492"/>
      <c r="Y277" s="470"/>
    </row>
    <row r="278" spans="1:25" x14ac:dyDescent="0.35">
      <c r="A278" s="470"/>
      <c r="B278" s="492" t="s">
        <v>373</v>
      </c>
      <c r="C278" s="505">
        <v>1</v>
      </c>
      <c r="D278" s="494" t="s">
        <v>550</v>
      </c>
      <c r="E278" s="492" t="s">
        <v>437</v>
      </c>
      <c r="F278" s="494">
        <v>93</v>
      </c>
      <c r="G278" s="494" t="s">
        <v>551</v>
      </c>
      <c r="H278" s="492" t="s">
        <v>437</v>
      </c>
      <c r="I278" s="494">
        <v>1</v>
      </c>
      <c r="J278" s="494" t="s">
        <v>552</v>
      </c>
      <c r="K278" s="492" t="s">
        <v>437</v>
      </c>
      <c r="L278" s="494">
        <v>2</v>
      </c>
      <c r="M278" s="494" t="s">
        <v>553</v>
      </c>
      <c r="N278" s="492" t="s">
        <v>437</v>
      </c>
      <c r="O278" s="494">
        <v>1</v>
      </c>
      <c r="P278" s="494" t="s">
        <v>554</v>
      </c>
      <c r="Q278" s="492" t="s">
        <v>437</v>
      </c>
      <c r="R278" s="506">
        <v>36.46</v>
      </c>
      <c r="S278" s="494" t="s">
        <v>555</v>
      </c>
      <c r="T278" s="492" t="s">
        <v>437</v>
      </c>
      <c r="U278" s="494">
        <v>100</v>
      </c>
      <c r="V278" s="494" t="s">
        <v>556</v>
      </c>
      <c r="W278" s="492"/>
      <c r="X278" s="492"/>
      <c r="Y278" s="470"/>
    </row>
    <row r="279" spans="1:25" x14ac:dyDescent="0.35">
      <c r="A279" s="470"/>
      <c r="B279" s="492"/>
      <c r="C279" s="492">
        <v>1</v>
      </c>
      <c r="D279" s="492" t="s">
        <v>243</v>
      </c>
      <c r="E279" s="492"/>
      <c r="F279" s="492">
        <v>100</v>
      </c>
      <c r="G279" s="492" t="s">
        <v>557</v>
      </c>
      <c r="H279" s="492"/>
      <c r="I279" s="492">
        <v>98</v>
      </c>
      <c r="J279" s="492" t="s">
        <v>551</v>
      </c>
      <c r="K279" s="492"/>
      <c r="L279" s="492">
        <v>1</v>
      </c>
      <c r="M279" s="492" t="s">
        <v>558</v>
      </c>
      <c r="N279" s="492"/>
      <c r="O279" s="492">
        <v>1</v>
      </c>
      <c r="P279" s="492" t="s">
        <v>559</v>
      </c>
      <c r="Q279" s="492"/>
      <c r="R279" s="492">
        <v>1</v>
      </c>
      <c r="S279" s="492" t="s">
        <v>554</v>
      </c>
      <c r="T279" s="492"/>
      <c r="U279" s="492">
        <v>35</v>
      </c>
      <c r="V279" s="492" t="s">
        <v>555</v>
      </c>
      <c r="W279" s="492"/>
      <c r="X279" s="492"/>
      <c r="Y279" s="470"/>
    </row>
    <row r="280" spans="1:25" x14ac:dyDescent="0.35">
      <c r="A280" s="470" t="s">
        <v>560</v>
      </c>
      <c r="B280" s="492"/>
      <c r="C280" s="507">
        <f>+(C278*F278*I278*L278*O278*R278*U278)/(C279*F279*I279*L279*O279*R279*U279)</f>
        <v>1.977131195335277</v>
      </c>
      <c r="D280" s="492" t="s">
        <v>561</v>
      </c>
      <c r="E280" s="492"/>
      <c r="F280" s="492"/>
      <c r="G280" s="492"/>
      <c r="H280" s="492"/>
      <c r="I280" s="492"/>
      <c r="J280" s="492"/>
      <c r="K280" s="492"/>
      <c r="L280" s="492"/>
      <c r="M280" s="492"/>
      <c r="N280" s="492"/>
      <c r="O280" s="492"/>
      <c r="P280" s="492"/>
      <c r="Q280" s="492"/>
      <c r="R280" s="492"/>
      <c r="S280" s="492"/>
      <c r="T280" s="492"/>
      <c r="U280" s="492"/>
      <c r="V280" s="492"/>
      <c r="W280" s="492"/>
      <c r="X280" s="492"/>
      <c r="Y280" s="470"/>
    </row>
    <row r="281" spans="1:25" x14ac:dyDescent="0.35">
      <c r="A281" s="470"/>
      <c r="B281" s="492"/>
      <c r="C281" s="507"/>
      <c r="D281" s="492"/>
      <c r="E281" s="492"/>
      <c r="F281" s="492"/>
      <c r="G281" s="492"/>
      <c r="H281" s="492"/>
      <c r="I281" s="492"/>
      <c r="J281" s="492"/>
      <c r="K281" s="492"/>
      <c r="L281" s="492"/>
      <c r="M281" s="492"/>
      <c r="N281" s="492"/>
      <c r="O281" s="492"/>
      <c r="P281" s="492"/>
      <c r="Q281" s="492"/>
      <c r="R281" s="492"/>
      <c r="S281" s="492"/>
      <c r="T281" s="492"/>
      <c r="U281" s="492"/>
      <c r="V281" s="492"/>
      <c r="W281" s="492"/>
      <c r="X281" s="492"/>
      <c r="Y281" s="470"/>
    </row>
    <row r="282" spans="1:25" x14ac:dyDescent="0.35">
      <c r="A282" s="470" t="s">
        <v>562</v>
      </c>
      <c r="B282" s="492" t="s">
        <v>373</v>
      </c>
      <c r="C282" s="495">
        <v>2.8000000000000001E-2</v>
      </c>
      <c r="D282" s="494" t="s">
        <v>563</v>
      </c>
      <c r="E282" s="492" t="s">
        <v>437</v>
      </c>
      <c r="F282" s="508">
        <v>1.98</v>
      </c>
      <c r="G282" s="494" t="s">
        <v>564</v>
      </c>
      <c r="H282" s="492"/>
      <c r="I282" s="492"/>
      <c r="J282" s="492"/>
      <c r="K282" s="492"/>
      <c r="L282" s="492"/>
      <c r="M282" s="470"/>
      <c r="N282" s="470"/>
      <c r="O282" s="470"/>
      <c r="P282" s="470"/>
      <c r="Q282" s="470"/>
      <c r="R282" s="470"/>
      <c r="S282" s="470"/>
      <c r="T282" s="470"/>
      <c r="U282" s="470"/>
      <c r="V282" s="470"/>
      <c r="W282" s="470"/>
      <c r="X282" s="470"/>
      <c r="Y282" s="470"/>
    </row>
    <row r="283" spans="1:25" x14ac:dyDescent="0.35">
      <c r="A283" s="29" t="s">
        <v>565</v>
      </c>
      <c r="B283" s="492"/>
      <c r="C283" s="497">
        <v>1000</v>
      </c>
      <c r="D283" s="492" t="s">
        <v>243</v>
      </c>
      <c r="E283" s="492"/>
      <c r="F283" s="497">
        <v>1</v>
      </c>
      <c r="G283" s="492" t="s">
        <v>563</v>
      </c>
      <c r="H283" s="492"/>
      <c r="I283" s="492"/>
      <c r="J283" s="492"/>
      <c r="K283" s="492"/>
      <c r="L283" s="492"/>
      <c r="M283" s="470"/>
      <c r="N283" s="470"/>
      <c r="O283" s="470"/>
      <c r="P283" s="470"/>
      <c r="Q283" s="470"/>
      <c r="R283" s="470"/>
      <c r="S283" s="470"/>
      <c r="T283" s="470"/>
      <c r="U283" s="470"/>
      <c r="V283" s="470"/>
      <c r="W283" s="470"/>
      <c r="X283" s="470"/>
      <c r="Y283" s="470"/>
    </row>
    <row r="284" spans="1:25" x14ac:dyDescent="0.35">
      <c r="A284" s="29" t="s">
        <v>566</v>
      </c>
      <c r="B284" s="492" t="s">
        <v>373</v>
      </c>
      <c r="C284" s="343">
        <f>C282*F282/C283/F283</f>
        <v>5.5440000000000005E-5</v>
      </c>
      <c r="D284" s="69" t="s">
        <v>567</v>
      </c>
      <c r="E284" s="492"/>
      <c r="F284" s="492"/>
      <c r="G284" s="492"/>
      <c r="H284" s="492"/>
      <c r="I284" s="492"/>
      <c r="J284" s="492"/>
      <c r="K284" s="492"/>
      <c r="L284" s="501"/>
      <c r="M284" s="492"/>
      <c r="N284" s="492"/>
      <c r="O284" s="492"/>
      <c r="P284" s="492"/>
      <c r="Q284" s="492"/>
      <c r="R284" s="492"/>
      <c r="S284" s="492"/>
      <c r="T284" s="492"/>
      <c r="U284" s="492"/>
      <c r="V284" s="492"/>
      <c r="W284" s="492"/>
      <c r="X284" s="492"/>
      <c r="Y284" s="470"/>
    </row>
    <row r="285" spans="1:25" x14ac:dyDescent="0.35">
      <c r="A285" s="470"/>
      <c r="B285" s="492"/>
      <c r="C285" s="67"/>
      <c r="D285" s="68"/>
      <c r="E285" s="492"/>
      <c r="F285" s="492"/>
      <c r="G285" s="492"/>
      <c r="H285" s="492"/>
      <c r="I285" s="492"/>
      <c r="J285" s="492"/>
      <c r="K285" s="492"/>
      <c r="L285" s="501"/>
      <c r="M285" s="492"/>
      <c r="N285" s="492"/>
      <c r="O285" s="492"/>
      <c r="P285" s="492"/>
      <c r="Q285" s="492"/>
      <c r="R285" s="492"/>
      <c r="S285" s="492"/>
      <c r="T285" s="492"/>
      <c r="U285" s="492"/>
      <c r="V285" s="492"/>
      <c r="W285" s="492"/>
      <c r="X285" s="492"/>
      <c r="Y285" s="470"/>
    </row>
    <row r="286" spans="1:25" x14ac:dyDescent="0.35">
      <c r="A286" s="470" t="s">
        <v>540</v>
      </c>
      <c r="B286" s="492" t="s">
        <v>373</v>
      </c>
      <c r="C286" s="509">
        <f>C284</f>
        <v>5.5440000000000005E-5</v>
      </c>
      <c r="D286" s="494" t="s">
        <v>536</v>
      </c>
      <c r="E286" s="492" t="s">
        <v>437</v>
      </c>
      <c r="F286" s="493">
        <v>453600</v>
      </c>
      <c r="G286" s="494" t="s">
        <v>493</v>
      </c>
      <c r="H286" s="492" t="s">
        <v>437</v>
      </c>
      <c r="I286" s="494">
        <v>1</v>
      </c>
      <c r="J286" s="494" t="s">
        <v>243</v>
      </c>
      <c r="K286" s="492"/>
      <c r="L286" s="492"/>
      <c r="M286" s="492"/>
      <c r="N286" s="492"/>
      <c r="O286" s="492"/>
      <c r="P286" s="492"/>
      <c r="Q286" s="492"/>
      <c r="R286" s="492"/>
      <c r="S286" s="470"/>
      <c r="T286" s="470"/>
      <c r="U286" s="470"/>
      <c r="V286" s="470"/>
      <c r="W286" s="470"/>
      <c r="X286" s="470"/>
      <c r="Y286" s="470"/>
    </row>
    <row r="287" spans="1:25" x14ac:dyDescent="0.35">
      <c r="A287" s="29"/>
      <c r="B287" s="492"/>
      <c r="C287" s="492">
        <v>1</v>
      </c>
      <c r="D287" s="492" t="s">
        <v>243</v>
      </c>
      <c r="E287" s="492"/>
      <c r="F287" s="492">
        <v>1</v>
      </c>
      <c r="G287" s="492" t="s">
        <v>469</v>
      </c>
      <c r="H287" s="492"/>
      <c r="I287" s="492">
        <v>3.7850000000000001</v>
      </c>
      <c r="J287" s="492" t="s">
        <v>485</v>
      </c>
      <c r="K287" s="492"/>
      <c r="L287" s="492"/>
      <c r="M287" s="492"/>
      <c r="N287" s="492"/>
      <c r="O287" s="492"/>
      <c r="P287" s="492"/>
      <c r="Q287" s="492"/>
      <c r="R287" s="492"/>
      <c r="S287" s="470"/>
      <c r="T287" s="470"/>
      <c r="U287" s="470"/>
      <c r="V287" s="470"/>
      <c r="W287" s="470"/>
      <c r="X287" s="470"/>
      <c r="Y287" s="470"/>
    </row>
    <row r="288" spans="1:25" x14ac:dyDescent="0.35">
      <c r="A288" s="470"/>
      <c r="B288" s="492" t="s">
        <v>373</v>
      </c>
      <c r="C288" s="70">
        <f>ROUNDUP((C286*F286/I287),2)</f>
        <v>6.6499999999999995</v>
      </c>
      <c r="D288" s="68" t="s">
        <v>414</v>
      </c>
      <c r="E288" s="492"/>
      <c r="F288" s="492"/>
      <c r="G288" s="492"/>
      <c r="H288" s="492"/>
      <c r="I288" s="492"/>
      <c r="J288" s="492"/>
      <c r="K288" s="492"/>
      <c r="L288" s="501"/>
      <c r="M288" s="492"/>
      <c r="N288" s="492"/>
      <c r="O288" s="492"/>
      <c r="P288" s="492"/>
      <c r="Q288" s="492"/>
      <c r="R288" s="492"/>
      <c r="S288" s="492"/>
      <c r="T288" s="492"/>
      <c r="U288" s="492"/>
      <c r="V288" s="492"/>
      <c r="W288" s="492"/>
      <c r="X288" s="492"/>
      <c r="Y288" s="470"/>
    </row>
    <row r="289" spans="1:25" x14ac:dyDescent="0.35">
      <c r="A289" s="470"/>
      <c r="B289" s="492"/>
      <c r="C289" s="67"/>
      <c r="D289" s="68"/>
      <c r="E289" s="492"/>
      <c r="F289" s="492"/>
      <c r="G289" s="492"/>
      <c r="H289" s="492"/>
      <c r="I289" s="492"/>
      <c r="J289" s="492"/>
      <c r="K289" s="492"/>
      <c r="L289" s="501"/>
      <c r="M289" s="492"/>
      <c r="N289" s="492"/>
      <c r="O289" s="492"/>
      <c r="P289" s="492"/>
      <c r="Q289" s="492"/>
      <c r="R289" s="492"/>
      <c r="S289" s="492"/>
      <c r="T289" s="492"/>
      <c r="U289" s="492"/>
      <c r="V289" s="492"/>
      <c r="W289" s="492"/>
      <c r="X289" s="492"/>
      <c r="Y289" s="470"/>
    </row>
    <row r="290" spans="1:25" x14ac:dyDescent="0.35">
      <c r="A290" s="470" t="s">
        <v>544</v>
      </c>
      <c r="B290" s="492" t="s">
        <v>373</v>
      </c>
      <c r="C290" s="504">
        <f>C288</f>
        <v>6.6499999999999995</v>
      </c>
      <c r="D290" s="494" t="s">
        <v>493</v>
      </c>
      <c r="E290" s="492" t="s">
        <v>437</v>
      </c>
      <c r="F290" s="493">
        <f>C20</f>
        <v>1100</v>
      </c>
      <c r="G290" s="494" t="s">
        <v>243</v>
      </c>
      <c r="H290" s="492" t="s">
        <v>437</v>
      </c>
      <c r="I290" s="495">
        <v>3.7850000000000001</v>
      </c>
      <c r="J290" s="494" t="s">
        <v>485</v>
      </c>
      <c r="K290" s="492" t="s">
        <v>437</v>
      </c>
      <c r="L290" s="493">
        <v>1</v>
      </c>
      <c r="M290" s="494" t="s">
        <v>469</v>
      </c>
      <c r="N290" s="470"/>
      <c r="O290" s="470"/>
      <c r="P290" s="470"/>
      <c r="Q290" s="470"/>
      <c r="R290" s="470"/>
      <c r="S290" s="470"/>
      <c r="T290" s="470"/>
      <c r="U290" s="470"/>
      <c r="V290" s="470"/>
      <c r="W290" s="470"/>
      <c r="X290" s="470"/>
      <c r="Y290" s="470"/>
    </row>
    <row r="291" spans="1:25" x14ac:dyDescent="0.35">
      <c r="A291" s="470"/>
      <c r="B291" s="492"/>
      <c r="C291" s="492">
        <v>1</v>
      </c>
      <c r="D291" s="492" t="s">
        <v>485</v>
      </c>
      <c r="E291" s="492"/>
      <c r="F291" s="497">
        <v>1</v>
      </c>
      <c r="G291" s="492" t="s">
        <v>438</v>
      </c>
      <c r="H291" s="492"/>
      <c r="I291" s="497">
        <v>1</v>
      </c>
      <c r="J291" s="492" t="s">
        <v>243</v>
      </c>
      <c r="K291" s="492"/>
      <c r="L291" s="497">
        <v>453600</v>
      </c>
      <c r="M291" s="492" t="s">
        <v>493</v>
      </c>
      <c r="N291" s="470"/>
      <c r="O291" s="470"/>
      <c r="P291" s="470"/>
      <c r="Q291" s="470"/>
      <c r="R291" s="470"/>
      <c r="S291" s="470"/>
      <c r="T291" s="470"/>
      <c r="U291" s="470"/>
      <c r="V291" s="470"/>
      <c r="W291" s="470"/>
      <c r="X291" s="470"/>
      <c r="Y291" s="470"/>
    </row>
    <row r="292" spans="1:25" x14ac:dyDescent="0.35">
      <c r="A292" s="470"/>
      <c r="B292" s="492" t="s">
        <v>373</v>
      </c>
      <c r="C292" s="342">
        <f>C290*F290*I290/L291</f>
        <v>6.1038966049382713E-2</v>
      </c>
      <c r="D292" s="69" t="s">
        <v>543</v>
      </c>
      <c r="E292" s="492"/>
      <c r="F292" s="492"/>
      <c r="G292" s="492"/>
      <c r="H292" s="492"/>
      <c r="I292" s="492"/>
      <c r="J292" s="492"/>
      <c r="K292" s="492"/>
      <c r="L292" s="492"/>
      <c r="M292" s="492"/>
      <c r="N292" s="492"/>
      <c r="O292" s="492"/>
      <c r="P292" s="492"/>
      <c r="Q292" s="492"/>
      <c r="R292" s="492"/>
      <c r="S292" s="492"/>
      <c r="T292" s="492"/>
      <c r="U292" s="492"/>
      <c r="V292" s="492"/>
      <c r="W292" s="492"/>
      <c r="X292" s="492"/>
      <c r="Y292" s="470"/>
    </row>
    <row r="293" spans="1:25" x14ac:dyDescent="0.35">
      <c r="A293" s="469"/>
      <c r="B293" s="471"/>
      <c r="C293" s="72"/>
      <c r="D293" s="27"/>
      <c r="E293" s="469"/>
      <c r="F293" s="469"/>
      <c r="G293" s="469"/>
      <c r="H293" s="469"/>
      <c r="I293" s="469"/>
      <c r="J293" s="469"/>
      <c r="K293" s="469"/>
      <c r="L293" s="469"/>
      <c r="M293" s="469"/>
      <c r="N293" s="469"/>
      <c r="O293" s="469"/>
      <c r="P293" s="469"/>
      <c r="Q293" s="469"/>
      <c r="R293" s="469"/>
      <c r="S293" s="469"/>
      <c r="T293" s="469"/>
      <c r="U293" s="469"/>
      <c r="V293" s="469"/>
      <c r="W293" s="469"/>
      <c r="X293" s="469"/>
      <c r="Y293" s="469"/>
    </row>
    <row r="294" spans="1:25" x14ac:dyDescent="0.35">
      <c r="A294" s="470" t="s">
        <v>546</v>
      </c>
      <c r="B294" s="492" t="s">
        <v>373</v>
      </c>
      <c r="C294" s="504">
        <f>C292</f>
        <v>6.1038966049382713E-2</v>
      </c>
      <c r="D294" s="494" t="s">
        <v>469</v>
      </c>
      <c r="E294" s="492" t="s">
        <v>437</v>
      </c>
      <c r="F294" s="498">
        <v>1</v>
      </c>
      <c r="G294" s="494" t="s">
        <v>470</v>
      </c>
      <c r="H294" s="492" t="s">
        <v>437</v>
      </c>
      <c r="I294" s="494">
        <v>1</v>
      </c>
      <c r="J294" s="494" t="s">
        <v>485</v>
      </c>
      <c r="K294" s="492" t="s">
        <v>437</v>
      </c>
      <c r="L294" s="494">
        <v>60</v>
      </c>
      <c r="M294" s="494" t="s">
        <v>438</v>
      </c>
      <c r="N294" s="492" t="s">
        <v>437</v>
      </c>
      <c r="O294" s="494">
        <v>1</v>
      </c>
      <c r="P294" s="494" t="s">
        <v>526</v>
      </c>
      <c r="Q294" s="492" t="s">
        <v>437</v>
      </c>
      <c r="R294" s="494">
        <v>1</v>
      </c>
      <c r="S294" s="494"/>
      <c r="T294" s="492" t="s">
        <v>437</v>
      </c>
      <c r="U294" s="494">
        <v>1</v>
      </c>
      <c r="V294" s="494" t="s">
        <v>243</v>
      </c>
      <c r="W294" s="470"/>
      <c r="X294" s="470"/>
      <c r="Y294" s="470"/>
    </row>
    <row r="295" spans="1:25" x14ac:dyDescent="0.35">
      <c r="A295" s="470"/>
      <c r="B295" s="492"/>
      <c r="C295" s="492">
        <v>1</v>
      </c>
      <c r="D295" s="492" t="s">
        <v>438</v>
      </c>
      <c r="E295" s="492"/>
      <c r="F295" s="492">
        <v>2.2000000000000002</v>
      </c>
      <c r="G295" s="492" t="s">
        <v>469</v>
      </c>
      <c r="H295" s="492"/>
      <c r="I295" s="492">
        <v>1</v>
      </c>
      <c r="J295" s="492" t="s">
        <v>470</v>
      </c>
      <c r="K295" s="492"/>
      <c r="L295" s="492">
        <v>1</v>
      </c>
      <c r="M295" s="492" t="s">
        <v>547</v>
      </c>
      <c r="N295" s="492"/>
      <c r="O295" s="500">
        <v>0.35</v>
      </c>
      <c r="P295" s="492" t="s">
        <v>529</v>
      </c>
      <c r="Q295" s="492"/>
      <c r="R295" s="492">
        <v>1.18</v>
      </c>
      <c r="S295" s="492" t="s">
        <v>476</v>
      </c>
      <c r="T295" s="492"/>
      <c r="U295" s="492">
        <v>3.7850000000000001</v>
      </c>
      <c r="V295" s="492" t="s">
        <v>485</v>
      </c>
      <c r="W295" s="470"/>
      <c r="X295" s="470"/>
      <c r="Y295" s="470"/>
    </row>
    <row r="296" spans="1:25" x14ac:dyDescent="0.35">
      <c r="A296" s="470"/>
      <c r="B296" s="492" t="s">
        <v>373</v>
      </c>
      <c r="C296" s="73">
        <f>ROUNDUP((C294*F294*I294*L294*O294*R294/F295/O295/R295/U295),2)</f>
        <v>1.07</v>
      </c>
      <c r="D296" s="68" t="s">
        <v>262</v>
      </c>
      <c r="E296" s="492"/>
      <c r="F296" s="492"/>
      <c r="G296" s="492"/>
      <c r="H296" s="492"/>
      <c r="I296" s="492"/>
      <c r="J296" s="492"/>
      <c r="K296" s="492"/>
      <c r="L296" s="492"/>
      <c r="M296" s="492"/>
      <c r="N296" s="492"/>
      <c r="O296" s="492"/>
      <c r="P296" s="492"/>
      <c r="Q296" s="492"/>
      <c r="R296" s="492"/>
      <c r="S296" s="492"/>
      <c r="T296" s="492"/>
      <c r="U296" s="492"/>
      <c r="V296" s="492"/>
      <c r="W296" s="492"/>
      <c r="X296" s="492"/>
      <c r="Y296" s="470"/>
    </row>
    <row r="298" spans="1:25" x14ac:dyDescent="0.35">
      <c r="A298" s="470" t="s">
        <v>568</v>
      </c>
      <c r="B298" s="492" t="s">
        <v>373</v>
      </c>
      <c r="C298" s="510">
        <f>C284</f>
        <v>5.5440000000000005E-5</v>
      </c>
      <c r="D298" s="494" t="s">
        <v>536</v>
      </c>
      <c r="E298" s="492" t="s">
        <v>437</v>
      </c>
      <c r="F298" s="493">
        <f>C20</f>
        <v>1100</v>
      </c>
      <c r="G298" s="494" t="s">
        <v>243</v>
      </c>
      <c r="H298" s="492" t="s">
        <v>437</v>
      </c>
      <c r="I298" s="493">
        <v>1440</v>
      </c>
      <c r="J298" s="494" t="s">
        <v>438</v>
      </c>
      <c r="K298" s="492" t="s">
        <v>437</v>
      </c>
      <c r="L298" s="494">
        <v>365</v>
      </c>
      <c r="M298" s="494" t="s">
        <v>471</v>
      </c>
      <c r="N298" s="470"/>
      <c r="O298" s="470"/>
      <c r="P298" s="470"/>
      <c r="Q298" s="470"/>
      <c r="R298" s="470"/>
      <c r="S298" s="470"/>
      <c r="T298" s="470"/>
      <c r="U298" s="470"/>
      <c r="V298" s="470"/>
      <c r="W298" s="470"/>
      <c r="X298" s="470"/>
      <c r="Y298" s="470"/>
    </row>
    <row r="299" spans="1:25" x14ac:dyDescent="0.35">
      <c r="A299" s="470"/>
      <c r="B299" s="492"/>
      <c r="C299" s="492">
        <v>1</v>
      </c>
      <c r="D299" s="492" t="s">
        <v>243</v>
      </c>
      <c r="E299" s="492"/>
      <c r="F299" s="492">
        <v>1</v>
      </c>
      <c r="G299" s="492" t="s">
        <v>438</v>
      </c>
      <c r="H299" s="492"/>
      <c r="I299" s="492">
        <v>1</v>
      </c>
      <c r="J299" s="492" t="s">
        <v>471</v>
      </c>
      <c r="K299" s="492"/>
      <c r="L299" s="511">
        <v>1</v>
      </c>
      <c r="M299" s="492" t="s">
        <v>504</v>
      </c>
      <c r="N299" s="492"/>
      <c r="O299" s="492"/>
      <c r="P299" s="492"/>
      <c r="Q299" s="470"/>
      <c r="R299" s="470"/>
      <c r="S299" s="470"/>
      <c r="T299" s="470"/>
      <c r="U299" s="470"/>
      <c r="V299" s="470"/>
      <c r="W299" s="470"/>
      <c r="X299" s="470"/>
      <c r="Y299" s="470"/>
    </row>
    <row r="300" spans="1:25" x14ac:dyDescent="0.35">
      <c r="A300" s="470"/>
      <c r="B300" s="492" t="s">
        <v>373</v>
      </c>
      <c r="C300" s="74">
        <f>C298*F298*I298*L298</f>
        <v>32053.190400000003</v>
      </c>
      <c r="D300" s="68" t="s">
        <v>569</v>
      </c>
      <c r="E300" s="492"/>
      <c r="F300" s="492"/>
      <c r="G300" s="492"/>
      <c r="H300" s="492"/>
      <c r="I300" s="492"/>
      <c r="J300" s="492"/>
      <c r="K300" s="492"/>
      <c r="L300" s="492"/>
      <c r="M300" s="492"/>
      <c r="N300" s="492"/>
      <c r="O300" s="492"/>
      <c r="P300" s="492"/>
      <c r="Q300" s="492"/>
      <c r="R300" s="492"/>
      <c r="S300" s="492"/>
      <c r="T300" s="492"/>
      <c r="U300" s="492"/>
      <c r="V300" s="492"/>
      <c r="W300" s="492"/>
      <c r="X300" s="492"/>
      <c r="Y300" s="470"/>
    </row>
    <row r="301" spans="1:25" x14ac:dyDescent="0.35">
      <c r="A301" s="470"/>
      <c r="B301" s="492"/>
      <c r="C301" s="67"/>
      <c r="D301" s="68"/>
      <c r="E301" s="492"/>
      <c r="F301" s="492"/>
      <c r="G301" s="492"/>
      <c r="H301" s="492"/>
      <c r="I301" s="492"/>
      <c r="J301" s="492"/>
      <c r="K301" s="492"/>
      <c r="L301" s="501"/>
      <c r="M301" s="492"/>
      <c r="N301" s="492"/>
      <c r="O301" s="492"/>
      <c r="P301" s="492"/>
      <c r="Q301" s="492"/>
      <c r="R301" s="492"/>
      <c r="S301" s="492"/>
      <c r="T301" s="492"/>
      <c r="U301" s="492"/>
      <c r="V301" s="492"/>
      <c r="W301" s="492"/>
      <c r="X301" s="492"/>
      <c r="Y301" s="470"/>
    </row>
    <row r="302" spans="1:25" x14ac:dyDescent="0.35">
      <c r="A302" s="758" t="s">
        <v>570</v>
      </c>
      <c r="B302" s="758"/>
      <c r="C302" s="758"/>
      <c r="D302" s="758"/>
      <c r="E302" s="758"/>
      <c r="F302" s="758"/>
      <c r="G302" s="758"/>
      <c r="H302" s="758"/>
      <c r="I302" s="758"/>
      <c r="J302" s="758"/>
      <c r="K302" s="66"/>
      <c r="L302" s="470"/>
      <c r="M302" s="470"/>
      <c r="N302" s="66"/>
      <c r="O302" s="470"/>
      <c r="P302" s="470"/>
      <c r="Q302" s="470"/>
      <c r="R302" s="470"/>
      <c r="S302" s="470"/>
      <c r="T302" s="470"/>
      <c r="U302" s="470"/>
      <c r="V302" s="470"/>
      <c r="W302" s="470"/>
      <c r="X302" s="470"/>
      <c r="Y302" s="470"/>
    </row>
    <row r="303" spans="1:25" x14ac:dyDescent="0.35">
      <c r="A303" s="470" t="s">
        <v>571</v>
      </c>
      <c r="B303" s="492" t="s">
        <v>373</v>
      </c>
      <c r="C303" s="493">
        <v>2</v>
      </c>
      <c r="D303" s="494" t="s">
        <v>572</v>
      </c>
      <c r="E303" s="492" t="s">
        <v>437</v>
      </c>
      <c r="F303" s="498">
        <v>12</v>
      </c>
      <c r="G303" s="494" t="s">
        <v>573</v>
      </c>
      <c r="H303" s="492" t="s">
        <v>437</v>
      </c>
      <c r="I303" s="493">
        <v>5.5</v>
      </c>
      <c r="J303" s="494" t="s">
        <v>574</v>
      </c>
      <c r="K303" s="492" t="s">
        <v>437</v>
      </c>
      <c r="L303" s="494">
        <v>45</v>
      </c>
      <c r="M303" s="494" t="s">
        <v>469</v>
      </c>
      <c r="N303" s="492"/>
      <c r="O303" s="492"/>
      <c r="P303" s="492"/>
      <c r="Q303" s="492"/>
      <c r="R303" s="492"/>
      <c r="S303" s="492"/>
      <c r="T303" s="492"/>
      <c r="U303" s="492"/>
      <c r="V303" s="470"/>
      <c r="W303" s="470"/>
      <c r="X303" s="470"/>
      <c r="Y303" s="470"/>
    </row>
    <row r="304" spans="1:25" x14ac:dyDescent="0.35">
      <c r="A304" s="29" t="s">
        <v>541</v>
      </c>
      <c r="B304" s="492"/>
      <c r="C304" s="492">
        <v>1</v>
      </c>
      <c r="D304" s="492" t="s">
        <v>573</v>
      </c>
      <c r="E304" s="492"/>
      <c r="F304" s="492">
        <v>1</v>
      </c>
      <c r="G304" s="492" t="s">
        <v>504</v>
      </c>
      <c r="H304" s="492"/>
      <c r="I304" s="501"/>
      <c r="J304" s="492" t="s">
        <v>575</v>
      </c>
      <c r="K304" s="492"/>
      <c r="L304" s="492"/>
      <c r="M304" s="492" t="s">
        <v>574</v>
      </c>
      <c r="N304" s="492"/>
      <c r="O304" s="492"/>
      <c r="P304" s="492"/>
      <c r="Q304" s="492"/>
      <c r="R304" s="492"/>
      <c r="S304" s="492"/>
      <c r="T304" s="492"/>
      <c r="U304" s="492"/>
      <c r="V304" s="470"/>
      <c r="W304" s="470"/>
      <c r="X304" s="470"/>
      <c r="Y304" s="470"/>
    </row>
    <row r="305" spans="1:25" x14ac:dyDescent="0.35">
      <c r="A305" s="470" t="s">
        <v>576</v>
      </c>
      <c r="B305" s="492" t="s">
        <v>373</v>
      </c>
      <c r="C305" s="344">
        <f>C303*F303*L303*I303</f>
        <v>5940</v>
      </c>
      <c r="D305" s="68" t="s">
        <v>577</v>
      </c>
      <c r="E305" s="492"/>
      <c r="F305" s="492"/>
      <c r="G305" s="492"/>
      <c r="H305" s="492"/>
      <c r="I305" s="492"/>
      <c r="J305" s="492"/>
      <c r="K305" s="492"/>
      <c r="L305" s="501"/>
      <c r="M305" s="492"/>
      <c r="N305" s="492"/>
      <c r="O305" s="492"/>
      <c r="P305" s="492"/>
      <c r="Q305" s="492"/>
      <c r="R305" s="492"/>
      <c r="S305" s="492"/>
      <c r="T305" s="492"/>
      <c r="U305" s="492"/>
      <c r="V305" s="492"/>
      <c r="W305" s="492"/>
      <c r="X305" s="492"/>
      <c r="Y305" s="470"/>
    </row>
    <row r="306" spans="1:25" x14ac:dyDescent="0.35">
      <c r="A306" s="470"/>
      <c r="B306" s="492"/>
      <c r="C306" s="74"/>
      <c r="D306" s="68"/>
      <c r="E306" s="492"/>
      <c r="F306" s="492"/>
      <c r="G306" s="492"/>
      <c r="H306" s="492"/>
      <c r="I306" s="492"/>
      <c r="J306" s="492"/>
      <c r="K306" s="492"/>
      <c r="L306" s="501"/>
      <c r="M306" s="492"/>
      <c r="N306" s="492"/>
      <c r="O306" s="492"/>
      <c r="P306" s="492"/>
      <c r="Q306" s="492"/>
      <c r="R306" s="492"/>
      <c r="S306" s="492"/>
      <c r="T306" s="492"/>
      <c r="U306" s="492"/>
      <c r="V306" s="492"/>
      <c r="W306" s="492"/>
      <c r="X306" s="492"/>
      <c r="Y306" s="470"/>
    </row>
    <row r="307" spans="1:25" x14ac:dyDescent="0.35">
      <c r="A307" s="470" t="s">
        <v>578</v>
      </c>
      <c r="B307" s="492" t="s">
        <v>373</v>
      </c>
      <c r="C307" s="493">
        <f>C305</f>
        <v>5940</v>
      </c>
      <c r="D307" s="494" t="s">
        <v>579</v>
      </c>
      <c r="E307" s="492" t="s">
        <v>437</v>
      </c>
      <c r="F307" s="494"/>
      <c r="G307" s="494"/>
      <c r="H307" s="470"/>
      <c r="I307" s="470"/>
      <c r="J307" s="470"/>
      <c r="K307" s="470"/>
      <c r="L307" s="470"/>
      <c r="M307" s="470"/>
      <c r="N307" s="470"/>
      <c r="O307" s="470"/>
      <c r="P307" s="470"/>
      <c r="Q307" s="470"/>
      <c r="R307" s="470"/>
      <c r="S307" s="470"/>
      <c r="T307" s="470"/>
      <c r="U307" s="470"/>
      <c r="V307" s="470"/>
      <c r="W307" s="470"/>
      <c r="X307" s="470"/>
      <c r="Y307" s="470"/>
    </row>
    <row r="308" spans="1:25" x14ac:dyDescent="0.35">
      <c r="A308" s="470"/>
      <c r="B308" s="492"/>
      <c r="C308" s="492">
        <v>1</v>
      </c>
      <c r="D308" s="492" t="s">
        <v>580</v>
      </c>
      <c r="E308" s="492"/>
      <c r="F308" s="497">
        <f>C11</f>
        <v>1300</v>
      </c>
      <c r="G308" s="492" t="s">
        <v>230</v>
      </c>
      <c r="H308" s="492"/>
      <c r="I308" s="492"/>
      <c r="J308" s="492"/>
      <c r="K308" s="470"/>
      <c r="L308" s="470"/>
      <c r="M308" s="470"/>
      <c r="N308" s="470"/>
      <c r="O308" s="470"/>
      <c r="P308" s="470"/>
      <c r="Q308" s="470"/>
      <c r="R308" s="470"/>
      <c r="S308" s="470"/>
      <c r="T308" s="470"/>
      <c r="U308" s="470"/>
      <c r="V308" s="470"/>
      <c r="W308" s="470"/>
      <c r="X308" s="470"/>
      <c r="Y308" s="470"/>
    </row>
    <row r="309" spans="1:25" x14ac:dyDescent="0.35">
      <c r="A309" s="470"/>
      <c r="B309" s="492" t="s">
        <v>373</v>
      </c>
      <c r="C309" s="76">
        <f>C307/F308</f>
        <v>4.569230769230769</v>
      </c>
      <c r="D309" s="69" t="s">
        <v>545</v>
      </c>
      <c r="E309" s="492"/>
      <c r="F309" s="492"/>
      <c r="G309" s="492"/>
      <c r="H309" s="492"/>
      <c r="I309" s="492"/>
      <c r="J309" s="492"/>
      <c r="K309" s="492"/>
      <c r="L309" s="492"/>
      <c r="M309" s="492"/>
      <c r="N309" s="492"/>
      <c r="O309" s="492"/>
      <c r="P309" s="492"/>
      <c r="Q309" s="492"/>
      <c r="R309" s="492"/>
      <c r="S309" s="492"/>
      <c r="T309" s="492"/>
      <c r="U309" s="492"/>
      <c r="V309" s="492"/>
      <c r="W309" s="492"/>
      <c r="X309" s="492"/>
      <c r="Y309" s="470"/>
    </row>
    <row r="310" spans="1:25" x14ac:dyDescent="0.35">
      <c r="A310" s="470"/>
      <c r="B310" s="492"/>
      <c r="C310" s="492"/>
      <c r="D310" s="492"/>
      <c r="E310" s="492"/>
      <c r="F310" s="492"/>
      <c r="G310" s="492"/>
      <c r="H310" s="492"/>
      <c r="I310" s="492"/>
      <c r="J310" s="492"/>
      <c r="K310" s="492"/>
      <c r="L310" s="501"/>
      <c r="M310" s="492"/>
      <c r="N310" s="492"/>
      <c r="O310" s="492"/>
      <c r="P310" s="492"/>
      <c r="Q310" s="492"/>
      <c r="R310" s="492"/>
      <c r="S310" s="492"/>
      <c r="T310" s="492"/>
      <c r="U310" s="492"/>
      <c r="V310" s="492"/>
      <c r="W310" s="492"/>
      <c r="X310" s="492"/>
      <c r="Y310" s="470"/>
    </row>
    <row r="311" spans="1:25" x14ac:dyDescent="0.35">
      <c r="A311" s="470" t="s">
        <v>581</v>
      </c>
      <c r="B311" s="492" t="s">
        <v>373</v>
      </c>
      <c r="C311" s="493">
        <v>2</v>
      </c>
      <c r="D311" s="494" t="s">
        <v>572</v>
      </c>
      <c r="E311" s="492" t="s">
        <v>437</v>
      </c>
      <c r="F311" s="498">
        <v>12</v>
      </c>
      <c r="G311" s="494" t="s">
        <v>573</v>
      </c>
      <c r="H311" s="492" t="s">
        <v>437</v>
      </c>
      <c r="I311" s="493">
        <v>5.5</v>
      </c>
      <c r="J311" s="494" t="s">
        <v>574</v>
      </c>
      <c r="K311" s="492" t="s">
        <v>437</v>
      </c>
      <c r="L311" s="494">
        <v>45</v>
      </c>
      <c r="M311" s="494" t="s">
        <v>469</v>
      </c>
      <c r="N311" s="492"/>
      <c r="O311" s="492"/>
      <c r="P311" s="492"/>
      <c r="Q311" s="492"/>
      <c r="R311" s="492"/>
      <c r="S311" s="492"/>
      <c r="T311" s="492"/>
      <c r="U311" s="492"/>
      <c r="V311" s="470"/>
      <c r="W311" s="470"/>
      <c r="X311" s="470"/>
      <c r="Y311" s="470"/>
    </row>
    <row r="312" spans="1:25" x14ac:dyDescent="0.35">
      <c r="A312" s="29" t="s">
        <v>541</v>
      </c>
      <c r="B312" s="492"/>
      <c r="C312" s="492">
        <v>1</v>
      </c>
      <c r="D312" s="492" t="s">
        <v>573</v>
      </c>
      <c r="E312" s="492"/>
      <c r="F312" s="492">
        <v>1</v>
      </c>
      <c r="G312" s="492" t="s">
        <v>504</v>
      </c>
      <c r="H312" s="492"/>
      <c r="I312" s="501"/>
      <c r="J312" s="492" t="s">
        <v>575</v>
      </c>
      <c r="K312" s="492"/>
      <c r="L312" s="492"/>
      <c r="M312" s="492" t="s">
        <v>574</v>
      </c>
      <c r="N312" s="492"/>
      <c r="O312" s="492"/>
      <c r="P312" s="492"/>
      <c r="Q312" s="492"/>
      <c r="R312" s="492"/>
      <c r="S312" s="492"/>
      <c r="T312" s="492"/>
      <c r="U312" s="492"/>
      <c r="V312" s="470"/>
      <c r="W312" s="470"/>
      <c r="X312" s="470"/>
      <c r="Y312" s="470"/>
    </row>
    <row r="313" spans="1:25" x14ac:dyDescent="0.35">
      <c r="A313" s="470" t="s">
        <v>576</v>
      </c>
      <c r="B313" s="492" t="s">
        <v>373</v>
      </c>
      <c r="C313" s="344">
        <f>C311*F311*L311*I311</f>
        <v>5940</v>
      </c>
      <c r="D313" s="68" t="s">
        <v>577</v>
      </c>
      <c r="E313" s="492"/>
      <c r="F313" s="492"/>
      <c r="G313" s="492"/>
      <c r="H313" s="492"/>
      <c r="I313" s="492"/>
      <c r="J313" s="492"/>
      <c r="K313" s="492"/>
      <c r="L313" s="501"/>
      <c r="M313" s="492"/>
      <c r="N313" s="492"/>
      <c r="O313" s="492"/>
      <c r="P313" s="492"/>
      <c r="Q313" s="492"/>
      <c r="R313" s="492"/>
      <c r="S313" s="492"/>
      <c r="T313" s="492"/>
      <c r="U313" s="492"/>
      <c r="V313" s="492"/>
      <c r="W313" s="492"/>
      <c r="X313" s="492"/>
      <c r="Y313" s="470"/>
    </row>
    <row r="314" spans="1:25" x14ac:dyDescent="0.35">
      <c r="A314" s="470"/>
      <c r="B314" s="492"/>
      <c r="C314" s="74"/>
      <c r="D314" s="68"/>
      <c r="E314" s="492"/>
      <c r="F314" s="492"/>
      <c r="G314" s="492"/>
      <c r="H314" s="492"/>
      <c r="I314" s="492"/>
      <c r="J314" s="492"/>
      <c r="K314" s="492"/>
      <c r="L314" s="501"/>
      <c r="M314" s="492"/>
      <c r="N314" s="492"/>
      <c r="O314" s="492"/>
      <c r="P314" s="492"/>
      <c r="Q314" s="492"/>
      <c r="R314" s="492"/>
      <c r="S314" s="492"/>
      <c r="T314" s="492"/>
      <c r="U314" s="492"/>
      <c r="V314" s="492"/>
      <c r="W314" s="492"/>
      <c r="X314" s="492"/>
      <c r="Y314" s="470"/>
    </row>
    <row r="315" spans="1:25" x14ac:dyDescent="0.35">
      <c r="A315" s="470" t="s">
        <v>582</v>
      </c>
      <c r="B315" s="492" t="s">
        <v>373</v>
      </c>
      <c r="C315" s="493">
        <f>C313</f>
        <v>5940</v>
      </c>
      <c r="D315" s="494" t="s">
        <v>579</v>
      </c>
      <c r="E315" s="492" t="s">
        <v>437</v>
      </c>
      <c r="F315" s="494"/>
      <c r="G315" s="494"/>
      <c r="H315" s="470"/>
      <c r="I315" s="470"/>
      <c r="J315" s="470"/>
      <c r="K315" s="470"/>
      <c r="L315" s="470"/>
      <c r="M315" s="470"/>
      <c r="N315" s="470"/>
      <c r="O315" s="470"/>
      <c r="P315" s="470"/>
      <c r="Q315" s="470"/>
      <c r="R315" s="470"/>
      <c r="S315" s="470"/>
      <c r="T315" s="470"/>
      <c r="U315" s="470"/>
      <c r="V315" s="470"/>
      <c r="W315" s="470"/>
      <c r="X315" s="470"/>
      <c r="Y315" s="470"/>
    </row>
    <row r="316" spans="1:25" x14ac:dyDescent="0.35">
      <c r="A316" s="470"/>
      <c r="B316" s="492"/>
      <c r="C316" s="497">
        <v>1</v>
      </c>
      <c r="D316" s="492" t="s">
        <v>580</v>
      </c>
      <c r="E316" s="492"/>
      <c r="F316" s="497">
        <f>F308</f>
        <v>1300</v>
      </c>
      <c r="G316" s="492" t="s">
        <v>230</v>
      </c>
      <c r="H316" s="492"/>
      <c r="I316" s="492"/>
      <c r="J316" s="492"/>
      <c r="K316" s="470"/>
      <c r="L316" s="470"/>
      <c r="M316" s="470"/>
      <c r="N316" s="470"/>
      <c r="O316" s="470"/>
      <c r="P316" s="470"/>
      <c r="Q316" s="470"/>
      <c r="R316" s="470"/>
      <c r="S316" s="470"/>
      <c r="T316" s="470"/>
      <c r="U316" s="470"/>
      <c r="V316" s="470"/>
      <c r="W316" s="470"/>
      <c r="X316" s="470"/>
      <c r="Y316" s="470"/>
    </row>
    <row r="317" spans="1:25" x14ac:dyDescent="0.35">
      <c r="A317" s="470"/>
      <c r="B317" s="492" t="s">
        <v>373</v>
      </c>
      <c r="C317" s="76">
        <f>C315/F316</f>
        <v>4.569230769230769</v>
      </c>
      <c r="D317" s="69" t="s">
        <v>545</v>
      </c>
      <c r="E317" s="492"/>
      <c r="F317" s="492"/>
      <c r="G317" s="492"/>
      <c r="H317" s="492"/>
      <c r="I317" s="492"/>
      <c r="J317" s="492"/>
      <c r="K317" s="492"/>
      <c r="L317" s="492"/>
      <c r="M317" s="492"/>
      <c r="N317" s="492"/>
      <c r="O317" s="492"/>
      <c r="P317" s="492"/>
      <c r="Q317" s="492"/>
      <c r="R317" s="492"/>
      <c r="S317" s="492"/>
      <c r="T317" s="492"/>
      <c r="U317" s="492"/>
      <c r="V317" s="492"/>
      <c r="W317" s="492"/>
      <c r="X317" s="492"/>
      <c r="Y317" s="470"/>
    </row>
    <row r="318" spans="1:25" x14ac:dyDescent="0.35">
      <c r="A318" s="470"/>
      <c r="B318" s="492"/>
      <c r="C318" s="492"/>
      <c r="D318" s="492"/>
      <c r="E318" s="492"/>
      <c r="F318" s="492"/>
      <c r="G318" s="492"/>
      <c r="H318" s="492"/>
      <c r="I318" s="492"/>
      <c r="J318" s="492"/>
      <c r="K318" s="492"/>
      <c r="L318" s="501"/>
      <c r="M318" s="492"/>
      <c r="N318" s="492"/>
      <c r="O318" s="492"/>
      <c r="P318" s="492"/>
      <c r="Q318" s="492"/>
      <c r="R318" s="492"/>
      <c r="S318" s="492"/>
      <c r="T318" s="492"/>
      <c r="U318" s="492"/>
      <c r="V318" s="492"/>
      <c r="W318" s="492"/>
      <c r="X318" s="492"/>
      <c r="Y318" s="470"/>
    </row>
    <row r="319" spans="1:25" x14ac:dyDescent="0.35">
      <c r="A319" s="758" t="s">
        <v>583</v>
      </c>
      <c r="B319" s="758"/>
      <c r="C319" s="758"/>
      <c r="D319" s="758"/>
      <c r="E319" s="758"/>
      <c r="F319" s="758"/>
      <c r="G319" s="758"/>
      <c r="H319" s="758"/>
      <c r="I319" s="758"/>
      <c r="J319" s="758"/>
      <c r="K319" s="66"/>
      <c r="L319" s="470"/>
      <c r="M319" s="470"/>
      <c r="N319" s="66"/>
      <c r="O319" s="470"/>
      <c r="P319" s="470"/>
      <c r="Q319" s="470"/>
      <c r="R319" s="470"/>
      <c r="S319" s="470"/>
      <c r="T319" s="470"/>
      <c r="U319" s="470"/>
      <c r="V319" s="470"/>
      <c r="W319" s="470"/>
      <c r="X319" s="470"/>
      <c r="Y319" s="470"/>
    </row>
    <row r="320" spans="1:25" x14ac:dyDescent="0.35">
      <c r="A320" s="470" t="s">
        <v>571</v>
      </c>
      <c r="B320" s="492" t="s">
        <v>373</v>
      </c>
      <c r="C320" s="493">
        <v>1</v>
      </c>
      <c r="D320" s="494" t="s">
        <v>572</v>
      </c>
      <c r="E320" s="492" t="s">
        <v>437</v>
      </c>
      <c r="F320" s="498">
        <v>12</v>
      </c>
      <c r="G320" s="494" t="s">
        <v>573</v>
      </c>
      <c r="H320" s="492" t="s">
        <v>437</v>
      </c>
      <c r="I320" s="493">
        <v>5.5</v>
      </c>
      <c r="J320" s="494" t="s">
        <v>574</v>
      </c>
      <c r="K320" s="492" t="s">
        <v>437</v>
      </c>
      <c r="L320" s="494">
        <v>45</v>
      </c>
      <c r="M320" s="494" t="s">
        <v>469</v>
      </c>
      <c r="N320" s="492"/>
      <c r="O320" s="492"/>
      <c r="P320" s="492"/>
      <c r="Q320" s="492"/>
      <c r="R320" s="492"/>
      <c r="S320" s="492"/>
      <c r="T320" s="492"/>
      <c r="U320" s="492"/>
      <c r="V320" s="470"/>
      <c r="W320" s="470"/>
      <c r="X320" s="470"/>
      <c r="Y320" s="470"/>
    </row>
    <row r="321" spans="1:25" x14ac:dyDescent="0.35">
      <c r="A321" s="29" t="s">
        <v>541</v>
      </c>
      <c r="B321" s="492"/>
      <c r="C321" s="492">
        <v>3</v>
      </c>
      <c r="D321" s="492" t="s">
        <v>573</v>
      </c>
      <c r="E321" s="492"/>
      <c r="F321" s="492">
        <v>1</v>
      </c>
      <c r="G321" s="492" t="s">
        <v>504</v>
      </c>
      <c r="H321" s="492"/>
      <c r="I321" s="501"/>
      <c r="J321" s="492" t="s">
        <v>575</v>
      </c>
      <c r="K321" s="492"/>
      <c r="L321" s="492"/>
      <c r="M321" s="492" t="s">
        <v>574</v>
      </c>
      <c r="N321" s="492"/>
      <c r="O321" s="492"/>
      <c r="P321" s="492"/>
      <c r="Q321" s="492"/>
      <c r="R321" s="492"/>
      <c r="S321" s="492"/>
      <c r="T321" s="492"/>
      <c r="U321" s="492"/>
      <c r="V321" s="470"/>
      <c r="W321" s="470"/>
      <c r="X321" s="470"/>
      <c r="Y321" s="470"/>
    </row>
    <row r="322" spans="1:25" x14ac:dyDescent="0.35">
      <c r="A322" s="470" t="s">
        <v>584</v>
      </c>
      <c r="B322" s="492" t="s">
        <v>373</v>
      </c>
      <c r="C322" s="75">
        <f>C320/C321*F320*L320*I320</f>
        <v>990</v>
      </c>
      <c r="D322" s="68" t="s">
        <v>577</v>
      </c>
      <c r="E322" s="492"/>
      <c r="F322" s="492"/>
      <c r="G322" s="492"/>
      <c r="H322" s="492"/>
      <c r="I322" s="492"/>
      <c r="J322" s="492"/>
      <c r="K322" s="492"/>
      <c r="L322" s="501"/>
      <c r="M322" s="492"/>
      <c r="N322" s="492"/>
      <c r="O322" s="492"/>
      <c r="P322" s="492"/>
      <c r="Q322" s="492"/>
      <c r="R322" s="492"/>
      <c r="S322" s="492"/>
      <c r="T322" s="492"/>
      <c r="U322" s="492"/>
      <c r="V322" s="492"/>
      <c r="W322" s="492"/>
      <c r="X322" s="492"/>
      <c r="Y322" s="470"/>
    </row>
    <row r="323" spans="1:25" x14ac:dyDescent="0.35">
      <c r="A323" s="470"/>
      <c r="B323" s="492"/>
      <c r="C323" s="67"/>
      <c r="D323" s="68"/>
      <c r="E323" s="492"/>
      <c r="F323" s="492"/>
      <c r="G323" s="492"/>
      <c r="H323" s="492"/>
      <c r="I323" s="492"/>
      <c r="J323" s="492"/>
      <c r="K323" s="492"/>
      <c r="L323" s="501"/>
      <c r="M323" s="492"/>
      <c r="N323" s="492"/>
      <c r="O323" s="492"/>
      <c r="P323" s="492"/>
      <c r="Q323" s="492"/>
      <c r="R323" s="492"/>
      <c r="S323" s="492"/>
      <c r="T323" s="492"/>
      <c r="U323" s="492"/>
      <c r="V323" s="492"/>
      <c r="W323" s="492"/>
      <c r="X323" s="492"/>
      <c r="Y323" s="470"/>
    </row>
    <row r="324" spans="1:25" x14ac:dyDescent="0.35">
      <c r="A324" s="470" t="s">
        <v>578</v>
      </c>
      <c r="B324" s="492" t="s">
        <v>373</v>
      </c>
      <c r="C324" s="498">
        <f>C322</f>
        <v>990</v>
      </c>
      <c r="D324" s="494" t="s">
        <v>579</v>
      </c>
      <c r="E324" s="492" t="s">
        <v>437</v>
      </c>
      <c r="F324" s="494"/>
      <c r="G324" s="494"/>
      <c r="H324" s="470"/>
      <c r="I324" s="470"/>
      <c r="J324" s="470"/>
      <c r="K324" s="470"/>
      <c r="L324" s="470"/>
      <c r="M324" s="470"/>
      <c r="N324" s="470"/>
      <c r="O324" s="470"/>
      <c r="P324" s="470"/>
      <c r="Q324" s="470"/>
      <c r="R324" s="470"/>
      <c r="S324" s="470"/>
      <c r="T324" s="470"/>
      <c r="U324" s="470"/>
      <c r="V324" s="470"/>
      <c r="W324" s="470"/>
      <c r="X324" s="470"/>
      <c r="Y324" s="470"/>
    </row>
    <row r="325" spans="1:25" x14ac:dyDescent="0.35">
      <c r="A325" s="470"/>
      <c r="B325" s="492"/>
      <c r="C325" s="492">
        <v>1</v>
      </c>
      <c r="D325" s="492" t="s">
        <v>580</v>
      </c>
      <c r="E325" s="492"/>
      <c r="F325" s="497">
        <f>F308</f>
        <v>1300</v>
      </c>
      <c r="G325" s="492" t="s">
        <v>230</v>
      </c>
      <c r="H325" s="492"/>
      <c r="I325" s="492"/>
      <c r="J325" s="492"/>
      <c r="K325" s="470"/>
      <c r="L325" s="470"/>
      <c r="M325" s="470"/>
      <c r="N325" s="470"/>
      <c r="O325" s="470"/>
      <c r="P325" s="470"/>
      <c r="Q325" s="470"/>
      <c r="R325" s="470"/>
      <c r="S325" s="470"/>
      <c r="T325" s="470"/>
      <c r="U325" s="470"/>
      <c r="V325" s="470"/>
      <c r="W325" s="470"/>
      <c r="X325" s="470"/>
      <c r="Y325" s="470"/>
    </row>
    <row r="326" spans="1:25" x14ac:dyDescent="0.35">
      <c r="A326" s="470"/>
      <c r="B326" s="492" t="s">
        <v>373</v>
      </c>
      <c r="C326" s="345">
        <f>C324/F325</f>
        <v>0.7615384615384615</v>
      </c>
      <c r="D326" s="69" t="s">
        <v>545</v>
      </c>
      <c r="E326" s="492"/>
      <c r="F326" s="492"/>
      <c r="G326" s="492"/>
      <c r="H326" s="492"/>
      <c r="I326" s="492"/>
      <c r="J326" s="492"/>
      <c r="K326" s="492"/>
      <c r="L326" s="492"/>
      <c r="M326" s="492"/>
      <c r="N326" s="492"/>
      <c r="O326" s="492"/>
      <c r="P326" s="492"/>
      <c r="Q326" s="492"/>
      <c r="R326" s="492"/>
      <c r="S326" s="492"/>
      <c r="T326" s="492"/>
      <c r="U326" s="492"/>
      <c r="V326" s="492"/>
      <c r="W326" s="492"/>
      <c r="X326" s="492"/>
      <c r="Y326" s="470"/>
    </row>
    <row r="327" spans="1:25" x14ac:dyDescent="0.35">
      <c r="A327" s="470"/>
      <c r="B327" s="492"/>
      <c r="C327" s="492"/>
      <c r="D327" s="492"/>
      <c r="E327" s="492"/>
      <c r="F327" s="492"/>
      <c r="G327" s="492"/>
      <c r="H327" s="492"/>
      <c r="I327" s="492"/>
      <c r="J327" s="492"/>
      <c r="K327" s="492"/>
      <c r="L327" s="501"/>
      <c r="M327" s="492"/>
      <c r="N327" s="492"/>
      <c r="O327" s="492"/>
      <c r="P327" s="492"/>
      <c r="Q327" s="492"/>
      <c r="R327" s="492"/>
      <c r="S327" s="492"/>
      <c r="T327" s="492"/>
      <c r="U327" s="492"/>
      <c r="V327" s="492"/>
      <c r="W327" s="492"/>
      <c r="X327" s="492"/>
      <c r="Y327" s="470"/>
    </row>
    <row r="328" spans="1:25" x14ac:dyDescent="0.35">
      <c r="A328" s="470" t="s">
        <v>581</v>
      </c>
      <c r="B328" s="492" t="s">
        <v>373</v>
      </c>
      <c r="C328" s="493">
        <v>1</v>
      </c>
      <c r="D328" s="494" t="s">
        <v>572</v>
      </c>
      <c r="E328" s="492" t="s">
        <v>437</v>
      </c>
      <c r="F328" s="498">
        <v>12</v>
      </c>
      <c r="G328" s="494" t="s">
        <v>573</v>
      </c>
      <c r="H328" s="492" t="s">
        <v>437</v>
      </c>
      <c r="I328" s="493">
        <v>5.5</v>
      </c>
      <c r="J328" s="494" t="s">
        <v>574</v>
      </c>
      <c r="K328" s="492" t="s">
        <v>437</v>
      </c>
      <c r="L328" s="494">
        <v>45</v>
      </c>
      <c r="M328" s="494" t="s">
        <v>469</v>
      </c>
      <c r="N328" s="492"/>
      <c r="O328" s="492"/>
      <c r="P328" s="492"/>
      <c r="Q328" s="492"/>
      <c r="R328" s="492"/>
      <c r="S328" s="492"/>
      <c r="T328" s="492"/>
      <c r="U328" s="492"/>
      <c r="V328" s="470"/>
      <c r="W328" s="470"/>
      <c r="X328" s="470"/>
      <c r="Y328" s="470"/>
    </row>
    <row r="329" spans="1:25" x14ac:dyDescent="0.35">
      <c r="A329" s="29" t="s">
        <v>541</v>
      </c>
      <c r="B329" s="492"/>
      <c r="C329" s="492">
        <v>3</v>
      </c>
      <c r="D329" s="492" t="s">
        <v>573</v>
      </c>
      <c r="E329" s="492"/>
      <c r="F329" s="492">
        <v>1</v>
      </c>
      <c r="G329" s="492" t="s">
        <v>504</v>
      </c>
      <c r="H329" s="492"/>
      <c r="I329" s="501"/>
      <c r="J329" s="492" t="s">
        <v>575</v>
      </c>
      <c r="K329" s="492"/>
      <c r="L329" s="492"/>
      <c r="M329" s="492" t="s">
        <v>574</v>
      </c>
      <c r="N329" s="492"/>
      <c r="O329" s="492"/>
      <c r="P329" s="492"/>
      <c r="Q329" s="492"/>
      <c r="R329" s="492"/>
      <c r="S329" s="492"/>
      <c r="T329" s="492"/>
      <c r="U329" s="492"/>
      <c r="V329" s="470"/>
      <c r="W329" s="470"/>
      <c r="X329" s="470"/>
      <c r="Y329" s="470"/>
    </row>
    <row r="330" spans="1:25" x14ac:dyDescent="0.35">
      <c r="A330" s="470"/>
      <c r="B330" s="492" t="s">
        <v>373</v>
      </c>
      <c r="C330" s="75">
        <f>C328/C329*F328*L328*I328</f>
        <v>990</v>
      </c>
      <c r="D330" s="68" t="s">
        <v>577</v>
      </c>
      <c r="E330" s="492"/>
      <c r="F330" s="492"/>
      <c r="G330" s="492"/>
      <c r="H330" s="492"/>
      <c r="I330" s="492"/>
      <c r="J330" s="492"/>
      <c r="K330" s="492"/>
      <c r="L330" s="501"/>
      <c r="M330" s="492"/>
      <c r="N330" s="492"/>
      <c r="O330" s="492"/>
      <c r="P330" s="492"/>
      <c r="Q330" s="492"/>
      <c r="R330" s="492"/>
      <c r="S330" s="492"/>
      <c r="T330" s="492"/>
      <c r="U330" s="492"/>
      <c r="V330" s="492"/>
      <c r="W330" s="492"/>
      <c r="X330" s="492"/>
      <c r="Y330" s="470"/>
    </row>
    <row r="331" spans="1:25" x14ac:dyDescent="0.35">
      <c r="A331" s="470"/>
      <c r="B331" s="492"/>
      <c r="C331" s="67"/>
      <c r="D331" s="68"/>
      <c r="E331" s="492"/>
      <c r="F331" s="492"/>
      <c r="G331" s="492"/>
      <c r="H331" s="492"/>
      <c r="I331" s="492"/>
      <c r="J331" s="492"/>
      <c r="K331" s="492"/>
      <c r="L331" s="501"/>
      <c r="M331" s="492"/>
      <c r="N331" s="492"/>
      <c r="O331" s="492"/>
      <c r="P331" s="492"/>
      <c r="Q331" s="492"/>
      <c r="R331" s="492"/>
      <c r="S331" s="492"/>
      <c r="T331" s="492"/>
      <c r="U331" s="492"/>
      <c r="V331" s="492"/>
      <c r="W331" s="492"/>
      <c r="X331" s="492"/>
      <c r="Y331" s="470"/>
    </row>
    <row r="332" spans="1:25" x14ac:dyDescent="0.35">
      <c r="A332" s="470" t="s">
        <v>582</v>
      </c>
      <c r="B332" s="492" t="s">
        <v>373</v>
      </c>
      <c r="C332" s="498">
        <f>C330</f>
        <v>990</v>
      </c>
      <c r="D332" s="494" t="s">
        <v>579</v>
      </c>
      <c r="E332" s="492" t="s">
        <v>437</v>
      </c>
      <c r="F332" s="494"/>
      <c r="G332" s="494"/>
      <c r="H332" s="470"/>
      <c r="I332" s="470"/>
      <c r="J332" s="470"/>
      <c r="K332" s="470"/>
      <c r="L332" s="470"/>
      <c r="M332" s="470"/>
      <c r="N332" s="470"/>
      <c r="O332" s="470"/>
      <c r="P332" s="470"/>
      <c r="Q332" s="470"/>
      <c r="R332" s="470"/>
      <c r="S332" s="470"/>
      <c r="T332" s="470"/>
      <c r="U332" s="470"/>
      <c r="V332" s="470"/>
      <c r="W332" s="470"/>
      <c r="X332" s="470"/>
      <c r="Y332" s="470"/>
    </row>
    <row r="333" spans="1:25" x14ac:dyDescent="0.35">
      <c r="A333" s="470"/>
      <c r="B333" s="492"/>
      <c r="C333" s="492">
        <v>1</v>
      </c>
      <c r="D333" s="492" t="s">
        <v>580</v>
      </c>
      <c r="E333" s="492"/>
      <c r="F333" s="497">
        <f>F325</f>
        <v>1300</v>
      </c>
      <c r="G333" s="492" t="s">
        <v>230</v>
      </c>
      <c r="H333" s="492"/>
      <c r="I333" s="492"/>
      <c r="J333" s="492"/>
      <c r="K333" s="470"/>
      <c r="L333" s="470"/>
      <c r="M333" s="470"/>
      <c r="N333" s="470"/>
      <c r="O333" s="470"/>
      <c r="P333" s="470"/>
      <c r="Q333" s="470"/>
      <c r="R333" s="470"/>
      <c r="S333" s="470"/>
      <c r="T333" s="470"/>
      <c r="U333" s="470"/>
      <c r="V333" s="470"/>
      <c r="W333" s="470"/>
      <c r="X333" s="470"/>
      <c r="Y333" s="470"/>
    </row>
    <row r="334" spans="1:25" x14ac:dyDescent="0.35">
      <c r="A334" s="470"/>
      <c r="B334" s="492" t="s">
        <v>373</v>
      </c>
      <c r="C334" s="345">
        <f>C332/F333</f>
        <v>0.7615384615384615</v>
      </c>
      <c r="D334" s="69" t="s">
        <v>545</v>
      </c>
      <c r="E334" s="492"/>
      <c r="F334" s="492"/>
      <c r="G334" s="492"/>
      <c r="H334" s="492"/>
      <c r="I334" s="492"/>
      <c r="J334" s="492"/>
      <c r="K334" s="492"/>
      <c r="L334" s="492"/>
      <c r="M334" s="492"/>
      <c r="N334" s="492"/>
      <c r="O334" s="492"/>
      <c r="P334" s="492"/>
      <c r="Q334" s="492"/>
      <c r="R334" s="492"/>
      <c r="S334" s="492"/>
      <c r="T334" s="492"/>
      <c r="U334" s="492"/>
      <c r="V334" s="492"/>
      <c r="W334" s="492"/>
      <c r="X334" s="492"/>
      <c r="Y334" s="470"/>
    </row>
    <row r="335" spans="1:25" x14ac:dyDescent="0.35">
      <c r="A335" s="470"/>
      <c r="B335" s="492"/>
      <c r="C335" s="492"/>
      <c r="D335" s="492"/>
      <c r="E335" s="492"/>
      <c r="F335" s="492"/>
      <c r="G335" s="492"/>
      <c r="H335" s="492"/>
      <c r="I335" s="492"/>
      <c r="J335" s="492"/>
      <c r="K335" s="492"/>
      <c r="L335" s="501"/>
      <c r="M335" s="492"/>
      <c r="N335" s="492"/>
      <c r="O335" s="492"/>
      <c r="P335" s="492"/>
      <c r="Q335" s="492"/>
      <c r="R335" s="492"/>
      <c r="S335" s="492"/>
      <c r="T335" s="492"/>
      <c r="U335" s="492"/>
      <c r="V335" s="492"/>
      <c r="W335" s="492"/>
      <c r="X335" s="492"/>
      <c r="Y335" s="470"/>
    </row>
    <row r="336" spans="1:25" x14ac:dyDescent="0.35">
      <c r="A336" s="758" t="s">
        <v>585</v>
      </c>
      <c r="B336" s="758"/>
      <c r="C336" s="758"/>
      <c r="D336" s="758"/>
      <c r="E336" s="758"/>
      <c r="F336" s="758"/>
      <c r="G336" s="758"/>
      <c r="H336" s="758"/>
      <c r="I336" s="758"/>
      <c r="J336" s="758"/>
      <c r="K336" s="66"/>
      <c r="L336" s="470"/>
      <c r="M336" s="470"/>
      <c r="N336" s="66"/>
      <c r="O336" s="470"/>
      <c r="P336" s="470"/>
      <c r="Q336" s="470"/>
      <c r="R336" s="470"/>
      <c r="S336" s="470"/>
      <c r="T336" s="470"/>
      <c r="U336" s="470"/>
      <c r="V336" s="470"/>
      <c r="W336" s="470"/>
      <c r="X336" s="470"/>
      <c r="Y336" s="470"/>
    </row>
    <row r="337" spans="1:25" x14ac:dyDescent="0.35">
      <c r="A337" s="470" t="s">
        <v>540</v>
      </c>
      <c r="B337" s="492" t="s">
        <v>373</v>
      </c>
      <c r="C337" s="493">
        <v>3</v>
      </c>
      <c r="D337" s="494" t="s">
        <v>493</v>
      </c>
      <c r="E337" s="492" t="s">
        <v>437</v>
      </c>
      <c r="F337" s="503">
        <v>3.7850000000000001</v>
      </c>
      <c r="G337" s="494" t="s">
        <v>485</v>
      </c>
      <c r="H337" s="492" t="s">
        <v>437</v>
      </c>
      <c r="I337" s="493">
        <f>F333</f>
        <v>1300</v>
      </c>
      <c r="J337" s="494" t="s">
        <v>243</v>
      </c>
      <c r="K337" s="492" t="s">
        <v>437</v>
      </c>
      <c r="L337" s="494">
        <v>1</v>
      </c>
      <c r="M337" s="494" t="s">
        <v>469</v>
      </c>
      <c r="N337" s="492" t="s">
        <v>437</v>
      </c>
      <c r="O337" s="493">
        <v>1440</v>
      </c>
      <c r="P337" s="494" t="s">
        <v>438</v>
      </c>
      <c r="Q337" s="492" t="s">
        <v>437</v>
      </c>
      <c r="R337" s="494">
        <v>365</v>
      </c>
      <c r="S337" s="494" t="s">
        <v>202</v>
      </c>
      <c r="T337" s="492"/>
      <c r="U337" s="492"/>
      <c r="V337" s="470"/>
      <c r="W337" s="470"/>
      <c r="X337" s="470"/>
      <c r="Y337" s="470"/>
    </row>
    <row r="338" spans="1:25" x14ac:dyDescent="0.35">
      <c r="A338" s="29" t="s">
        <v>541</v>
      </c>
      <c r="B338" s="492"/>
      <c r="C338" s="492">
        <v>1</v>
      </c>
      <c r="D338" s="492" t="s">
        <v>485</v>
      </c>
      <c r="E338" s="492"/>
      <c r="F338" s="492">
        <v>1</v>
      </c>
      <c r="G338" s="492" t="s">
        <v>243</v>
      </c>
      <c r="H338" s="492"/>
      <c r="I338" s="501"/>
      <c r="J338" s="492" t="s">
        <v>438</v>
      </c>
      <c r="K338" s="492"/>
      <c r="L338" s="497">
        <v>453600</v>
      </c>
      <c r="M338" s="492" t="s">
        <v>493</v>
      </c>
      <c r="N338" s="492"/>
      <c r="O338" s="501"/>
      <c r="P338" s="492" t="s">
        <v>202</v>
      </c>
      <c r="Q338" s="492"/>
      <c r="R338" s="492">
        <v>1</v>
      </c>
      <c r="S338" s="492" t="s">
        <v>504</v>
      </c>
      <c r="T338" s="492"/>
      <c r="U338" s="492"/>
      <c r="V338" s="470"/>
      <c r="W338" s="470"/>
      <c r="X338" s="470"/>
      <c r="Y338" s="470"/>
    </row>
    <row r="339" spans="1:25" x14ac:dyDescent="0.35">
      <c r="A339" s="470"/>
      <c r="B339" s="492" t="s">
        <v>373</v>
      </c>
      <c r="C339" s="344">
        <f>C337*F337*I337*O337*R337/L338</f>
        <v>17104.595238095237</v>
      </c>
      <c r="D339" s="68" t="s">
        <v>577</v>
      </c>
      <c r="E339" s="492"/>
      <c r="F339" s="492"/>
      <c r="G339" s="492"/>
      <c r="H339" s="492"/>
      <c r="I339" s="492"/>
      <c r="J339" s="492"/>
      <c r="K339" s="492"/>
      <c r="L339" s="501"/>
      <c r="M339" s="492"/>
      <c r="N339" s="492"/>
      <c r="O339" s="492"/>
      <c r="P339" s="492"/>
      <c r="Q339" s="492"/>
      <c r="R339" s="492"/>
      <c r="S339" s="492"/>
      <c r="T339" s="492"/>
      <c r="U339" s="492"/>
      <c r="V339" s="492"/>
      <c r="W339" s="492"/>
      <c r="X339" s="492"/>
      <c r="Y339" s="470"/>
    </row>
    <row r="340" spans="1:25" x14ac:dyDescent="0.35">
      <c r="A340" s="470"/>
      <c r="B340" s="492"/>
      <c r="C340" s="67"/>
      <c r="D340" s="68"/>
      <c r="E340" s="492"/>
      <c r="F340" s="492"/>
      <c r="G340" s="492"/>
      <c r="H340" s="492"/>
      <c r="I340" s="492"/>
      <c r="J340" s="492"/>
      <c r="K340" s="492"/>
      <c r="L340" s="501"/>
      <c r="M340" s="492"/>
      <c r="N340" s="492"/>
      <c r="O340" s="492"/>
      <c r="P340" s="492"/>
      <c r="Q340" s="492"/>
      <c r="R340" s="492"/>
      <c r="S340" s="492"/>
      <c r="T340" s="492"/>
      <c r="U340" s="492"/>
      <c r="V340" s="492"/>
      <c r="W340" s="492"/>
      <c r="X340" s="492"/>
      <c r="Y340" s="470"/>
    </row>
    <row r="341" spans="1:25" x14ac:dyDescent="0.35">
      <c r="A341" s="470" t="s">
        <v>544</v>
      </c>
      <c r="B341" s="492" t="s">
        <v>373</v>
      </c>
      <c r="C341" s="493">
        <f>C339</f>
        <v>17104.595238095237</v>
      </c>
      <c r="D341" s="494" t="s">
        <v>579</v>
      </c>
      <c r="E341" s="492" t="s">
        <v>437</v>
      </c>
      <c r="F341" s="494"/>
      <c r="G341" s="494"/>
      <c r="H341" s="470"/>
      <c r="I341" s="470"/>
      <c r="J341" s="470"/>
      <c r="K341" s="470"/>
      <c r="L341" s="470"/>
      <c r="M341" s="470"/>
      <c r="N341" s="470"/>
      <c r="O341" s="470"/>
      <c r="P341" s="470"/>
      <c r="Q341" s="470"/>
      <c r="R341" s="470"/>
      <c r="S341" s="470"/>
      <c r="T341" s="470"/>
      <c r="U341" s="470"/>
      <c r="V341" s="470"/>
      <c r="W341" s="470"/>
      <c r="X341" s="470"/>
      <c r="Y341" s="470"/>
    </row>
    <row r="342" spans="1:25" x14ac:dyDescent="0.35">
      <c r="A342" s="470"/>
      <c r="B342" s="492"/>
      <c r="C342" s="492">
        <v>1</v>
      </c>
      <c r="D342" s="492" t="s">
        <v>580</v>
      </c>
      <c r="E342" s="492"/>
      <c r="F342" s="497">
        <f>I337</f>
        <v>1300</v>
      </c>
      <c r="G342" s="492" t="s">
        <v>230</v>
      </c>
      <c r="H342" s="492"/>
      <c r="I342" s="492"/>
      <c r="J342" s="492"/>
      <c r="K342" s="470"/>
      <c r="L342" s="470"/>
      <c r="M342" s="470"/>
      <c r="N342" s="470"/>
      <c r="O342" s="470"/>
      <c r="P342" s="470"/>
      <c r="Q342" s="470"/>
      <c r="R342" s="470"/>
      <c r="S342" s="470"/>
      <c r="T342" s="470"/>
      <c r="U342" s="470"/>
      <c r="V342" s="470"/>
      <c r="W342" s="470"/>
      <c r="X342" s="470"/>
      <c r="Y342" s="470"/>
    </row>
    <row r="343" spans="1:25" x14ac:dyDescent="0.35">
      <c r="A343" s="470"/>
      <c r="B343" s="492" t="s">
        <v>373</v>
      </c>
      <c r="C343" s="76">
        <f>C341/F342</f>
        <v>13.157380952380951</v>
      </c>
      <c r="D343" s="69" t="s">
        <v>545</v>
      </c>
      <c r="E343" s="492"/>
      <c r="F343" s="492"/>
      <c r="G343" s="492"/>
      <c r="H343" s="492"/>
      <c r="I343" s="492"/>
      <c r="J343" s="492"/>
      <c r="K343" s="492"/>
      <c r="L343" s="492"/>
      <c r="M343" s="492"/>
      <c r="N343" s="492"/>
      <c r="O343" s="492"/>
      <c r="P343" s="492"/>
      <c r="Q343" s="492"/>
      <c r="R343" s="492"/>
      <c r="S343" s="492"/>
      <c r="T343" s="492"/>
      <c r="U343" s="492"/>
      <c r="V343" s="492"/>
      <c r="W343" s="492"/>
      <c r="X343" s="492"/>
      <c r="Y343" s="470"/>
    </row>
    <row r="344" spans="1:25" x14ac:dyDescent="0.35">
      <c r="A344" s="470"/>
      <c r="B344" s="492"/>
      <c r="C344" s="492"/>
      <c r="D344" s="492"/>
      <c r="E344" s="492"/>
      <c r="F344" s="492"/>
      <c r="G344" s="492"/>
      <c r="H344" s="492"/>
      <c r="I344" s="492"/>
      <c r="J344" s="492"/>
      <c r="K344" s="492"/>
      <c r="L344" s="501"/>
      <c r="M344" s="492"/>
      <c r="N344" s="492"/>
      <c r="O344" s="492"/>
      <c r="P344" s="492"/>
      <c r="Q344" s="492"/>
      <c r="R344" s="492"/>
      <c r="S344" s="492"/>
      <c r="T344" s="492"/>
      <c r="U344" s="492"/>
      <c r="V344" s="492"/>
      <c r="W344" s="492"/>
      <c r="X344" s="492"/>
      <c r="Y344" s="470"/>
    </row>
    <row r="345" spans="1:25" x14ac:dyDescent="0.35">
      <c r="A345" s="758" t="s">
        <v>586</v>
      </c>
      <c r="B345" s="758"/>
      <c r="C345" s="758"/>
      <c r="D345" s="758"/>
      <c r="E345" s="758"/>
      <c r="F345" s="758"/>
      <c r="G345" s="758"/>
      <c r="H345" s="758"/>
      <c r="I345" s="758"/>
      <c r="J345" s="758"/>
      <c r="K345" s="66"/>
      <c r="L345" s="470"/>
      <c r="M345" s="470"/>
      <c r="N345" s="66"/>
      <c r="O345" s="470"/>
      <c r="P345" s="470"/>
      <c r="Q345" s="470"/>
      <c r="R345" s="470"/>
      <c r="S345" s="470"/>
      <c r="T345" s="470"/>
      <c r="U345" s="470"/>
      <c r="V345" s="470"/>
      <c r="W345" s="470"/>
      <c r="X345" s="470"/>
      <c r="Y345" s="470"/>
    </row>
    <row r="346" spans="1:25" x14ac:dyDescent="0.35">
      <c r="A346" s="470" t="s">
        <v>540</v>
      </c>
      <c r="B346" s="492" t="s">
        <v>373</v>
      </c>
      <c r="C346" s="493">
        <v>1</v>
      </c>
      <c r="D346" s="494" t="s">
        <v>493</v>
      </c>
      <c r="E346" s="492" t="s">
        <v>437</v>
      </c>
      <c r="F346" s="503">
        <v>3.7850000000000001</v>
      </c>
      <c r="G346" s="494" t="s">
        <v>485</v>
      </c>
      <c r="H346" s="492" t="s">
        <v>437</v>
      </c>
      <c r="I346" s="493">
        <f>I337</f>
        <v>1300</v>
      </c>
      <c r="J346" s="494" t="s">
        <v>243</v>
      </c>
      <c r="K346" s="492" t="s">
        <v>437</v>
      </c>
      <c r="L346" s="494">
        <v>1</v>
      </c>
      <c r="M346" s="494" t="s">
        <v>469</v>
      </c>
      <c r="N346" s="492" t="s">
        <v>437</v>
      </c>
      <c r="O346" s="493">
        <v>1440</v>
      </c>
      <c r="P346" s="494" t="s">
        <v>438</v>
      </c>
      <c r="Q346" s="492" t="s">
        <v>437</v>
      </c>
      <c r="R346" s="494">
        <v>365</v>
      </c>
      <c r="S346" s="494" t="s">
        <v>202</v>
      </c>
      <c r="T346" s="492"/>
      <c r="U346" s="492"/>
      <c r="V346" s="470"/>
      <c r="W346" s="470"/>
      <c r="X346" s="470"/>
      <c r="Y346" s="470"/>
    </row>
    <row r="347" spans="1:25" x14ac:dyDescent="0.35">
      <c r="A347" s="29" t="s">
        <v>541</v>
      </c>
      <c r="B347" s="492"/>
      <c r="C347" s="492">
        <v>1</v>
      </c>
      <c r="D347" s="492" t="s">
        <v>485</v>
      </c>
      <c r="E347" s="492"/>
      <c r="F347" s="492">
        <v>1</v>
      </c>
      <c r="G347" s="492" t="s">
        <v>243</v>
      </c>
      <c r="H347" s="492"/>
      <c r="I347" s="501"/>
      <c r="J347" s="492" t="s">
        <v>438</v>
      </c>
      <c r="K347" s="492"/>
      <c r="L347" s="497">
        <v>453600</v>
      </c>
      <c r="M347" s="492" t="s">
        <v>493</v>
      </c>
      <c r="N347" s="492"/>
      <c r="O347" s="501"/>
      <c r="P347" s="492" t="s">
        <v>202</v>
      </c>
      <c r="Q347" s="492"/>
      <c r="R347" s="492">
        <v>1</v>
      </c>
      <c r="S347" s="492" t="s">
        <v>504</v>
      </c>
      <c r="T347" s="492"/>
      <c r="U347" s="492"/>
      <c r="V347" s="470"/>
      <c r="W347" s="470"/>
      <c r="X347" s="470"/>
      <c r="Y347" s="470"/>
    </row>
    <row r="348" spans="1:25" x14ac:dyDescent="0.35">
      <c r="A348" s="470"/>
      <c r="B348" s="492" t="s">
        <v>373</v>
      </c>
      <c r="C348" s="344">
        <f>C346*F346*I346*O346*R346/L347</f>
        <v>5701.5317460317465</v>
      </c>
      <c r="D348" s="68" t="s">
        <v>577</v>
      </c>
      <c r="E348" s="492"/>
      <c r="F348" s="492"/>
      <c r="G348" s="492"/>
      <c r="H348" s="492"/>
      <c r="I348" s="492"/>
      <c r="J348" s="492"/>
      <c r="K348" s="492"/>
      <c r="L348" s="501"/>
      <c r="M348" s="492"/>
      <c r="N348" s="492"/>
      <c r="O348" s="492"/>
      <c r="P348" s="492"/>
      <c r="Q348" s="492"/>
      <c r="R348" s="492"/>
      <c r="S348" s="492"/>
      <c r="T348" s="492"/>
      <c r="U348" s="492"/>
      <c r="V348" s="492"/>
      <c r="W348" s="492"/>
      <c r="X348" s="492"/>
      <c r="Y348" s="470"/>
    </row>
    <row r="349" spans="1:25" x14ac:dyDescent="0.35">
      <c r="A349" s="470"/>
      <c r="B349" s="492"/>
      <c r="C349" s="67"/>
      <c r="D349" s="68"/>
      <c r="E349" s="492"/>
      <c r="F349" s="492"/>
      <c r="G349" s="492"/>
      <c r="H349" s="492"/>
      <c r="I349" s="492"/>
      <c r="J349" s="492"/>
      <c r="K349" s="492"/>
      <c r="L349" s="501"/>
      <c r="M349" s="492"/>
      <c r="N349" s="492"/>
      <c r="O349" s="492"/>
      <c r="P349" s="492"/>
      <c r="Q349" s="492"/>
      <c r="R349" s="492"/>
      <c r="S349" s="492"/>
      <c r="T349" s="492"/>
      <c r="U349" s="492"/>
      <c r="V349" s="492"/>
      <c r="W349" s="492"/>
      <c r="X349" s="492"/>
      <c r="Y349" s="470"/>
    </row>
    <row r="350" spans="1:25" x14ac:dyDescent="0.35">
      <c r="A350" s="470" t="s">
        <v>544</v>
      </c>
      <c r="B350" s="492" t="s">
        <v>373</v>
      </c>
      <c r="C350" s="493">
        <f>C348</f>
        <v>5701.5317460317465</v>
      </c>
      <c r="D350" s="494" t="s">
        <v>469</v>
      </c>
      <c r="E350" s="492" t="s">
        <v>437</v>
      </c>
      <c r="F350" s="494"/>
      <c r="G350" s="494"/>
      <c r="H350" s="470"/>
      <c r="I350" s="470"/>
      <c r="J350" s="470"/>
      <c r="K350" s="470"/>
      <c r="L350" s="470"/>
      <c r="M350" s="470"/>
      <c r="N350" s="470"/>
      <c r="O350" s="470"/>
      <c r="P350" s="470"/>
      <c r="Q350" s="470"/>
      <c r="R350" s="470"/>
      <c r="S350" s="470"/>
      <c r="T350" s="470"/>
      <c r="U350" s="470"/>
      <c r="V350" s="470"/>
      <c r="W350" s="470"/>
      <c r="X350" s="470"/>
      <c r="Y350" s="470"/>
    </row>
    <row r="351" spans="1:25" x14ac:dyDescent="0.35">
      <c r="A351" s="470"/>
      <c r="B351" s="492"/>
      <c r="C351" s="492">
        <v>1</v>
      </c>
      <c r="D351" s="492" t="s">
        <v>504</v>
      </c>
      <c r="E351" s="492"/>
      <c r="F351" s="497">
        <f>I346</f>
        <v>1300</v>
      </c>
      <c r="G351" s="492" t="s">
        <v>230</v>
      </c>
      <c r="H351" s="492"/>
      <c r="I351" s="492"/>
      <c r="J351" s="492"/>
      <c r="K351" s="470"/>
      <c r="L351" s="470"/>
      <c r="M351" s="470"/>
      <c r="N351" s="470"/>
      <c r="O351" s="470"/>
      <c r="P351" s="470"/>
      <c r="Q351" s="470"/>
      <c r="R351" s="470"/>
      <c r="S351" s="470"/>
      <c r="T351" s="470"/>
      <c r="U351" s="470"/>
      <c r="V351" s="470"/>
      <c r="W351" s="470"/>
      <c r="X351" s="470"/>
      <c r="Y351" s="470"/>
    </row>
    <row r="352" spans="1:25" x14ac:dyDescent="0.35">
      <c r="A352" s="470"/>
      <c r="B352" s="492" t="s">
        <v>373</v>
      </c>
      <c r="C352" s="76">
        <f>C350/F351</f>
        <v>4.3857936507936515</v>
      </c>
      <c r="D352" s="69" t="s">
        <v>545</v>
      </c>
      <c r="E352" s="492"/>
      <c r="F352" s="492"/>
      <c r="G352" s="492"/>
      <c r="H352" s="492"/>
      <c r="I352" s="492"/>
      <c r="J352" s="492"/>
      <c r="K352" s="492"/>
      <c r="L352" s="492"/>
      <c r="M352" s="492"/>
      <c r="N352" s="492"/>
      <c r="O352" s="492"/>
      <c r="P352" s="492"/>
      <c r="Q352" s="492"/>
      <c r="R352" s="492"/>
      <c r="S352" s="492"/>
      <c r="T352" s="492"/>
      <c r="U352" s="492"/>
      <c r="V352" s="492"/>
      <c r="W352" s="492"/>
      <c r="X352" s="492"/>
      <c r="Y352" s="470"/>
    </row>
    <row r="353" spans="1:25" x14ac:dyDescent="0.35">
      <c r="A353" s="470"/>
      <c r="B353" s="492"/>
      <c r="C353" s="492"/>
      <c r="D353" s="492"/>
      <c r="E353" s="492"/>
      <c r="F353" s="492"/>
      <c r="G353" s="492"/>
      <c r="H353" s="492"/>
      <c r="I353" s="492"/>
      <c r="J353" s="492"/>
      <c r="K353" s="492"/>
      <c r="L353" s="501"/>
      <c r="M353" s="492"/>
      <c r="N353" s="492"/>
      <c r="O353" s="492"/>
      <c r="P353" s="492"/>
      <c r="Q353" s="492"/>
      <c r="R353" s="492"/>
      <c r="S353" s="492"/>
      <c r="T353" s="492"/>
      <c r="U353" s="492"/>
      <c r="V353" s="492"/>
      <c r="W353" s="492"/>
      <c r="X353" s="492"/>
      <c r="Y353" s="470"/>
    </row>
    <row r="354" spans="1:25" x14ac:dyDescent="0.35">
      <c r="A354" s="463" t="s">
        <v>587</v>
      </c>
      <c r="B354" s="66"/>
      <c r="C354" s="66"/>
      <c r="D354" s="66"/>
      <c r="E354" s="66"/>
      <c r="F354" s="66"/>
      <c r="G354" s="66"/>
      <c r="H354" s="66"/>
      <c r="I354" s="66"/>
      <c r="J354" s="66"/>
      <c r="K354" s="66"/>
      <c r="L354" s="470"/>
      <c r="M354" s="470"/>
      <c r="N354" s="66"/>
      <c r="O354" s="470"/>
      <c r="P354" s="470"/>
      <c r="Q354" s="470"/>
      <c r="R354" s="470"/>
      <c r="S354" s="470"/>
      <c r="T354" s="470"/>
      <c r="U354" s="470"/>
      <c r="V354" s="470"/>
      <c r="W354" s="470"/>
      <c r="X354" s="470"/>
      <c r="Y354" s="470"/>
    </row>
    <row r="355" spans="1:25" x14ac:dyDescent="0.35">
      <c r="A355" s="470" t="s">
        <v>588</v>
      </c>
      <c r="B355" s="492" t="s">
        <v>373</v>
      </c>
      <c r="C355" s="512" t="s">
        <v>589</v>
      </c>
      <c r="D355" s="513"/>
      <c r="E355" s="492" t="s">
        <v>590</v>
      </c>
      <c r="F355" s="514" t="s">
        <v>591</v>
      </c>
      <c r="G355" s="492"/>
      <c r="H355" s="492"/>
      <c r="I355" s="497"/>
      <c r="J355" s="492"/>
      <c r="K355" s="492"/>
      <c r="L355" s="492"/>
      <c r="M355" s="492"/>
      <c r="N355" s="492"/>
      <c r="O355" s="492"/>
      <c r="P355" s="492"/>
      <c r="Q355" s="492"/>
      <c r="R355" s="492"/>
      <c r="S355" s="492"/>
      <c r="T355" s="492"/>
      <c r="U355" s="492"/>
      <c r="V355" s="470"/>
      <c r="W355" s="470"/>
      <c r="X355" s="470"/>
      <c r="Y355" s="470"/>
    </row>
    <row r="356" spans="1:25" x14ac:dyDescent="0.35">
      <c r="A356" s="29"/>
      <c r="B356" s="492" t="s">
        <v>373</v>
      </c>
      <c r="C356" s="504">
        <f>C273</f>
        <v>0.97</v>
      </c>
      <c r="D356" s="494" t="s">
        <v>243</v>
      </c>
      <c r="E356" s="494" t="s">
        <v>590</v>
      </c>
      <c r="F356" s="498">
        <f>C236</f>
        <v>27</v>
      </c>
      <c r="G356" s="494" t="s">
        <v>243</v>
      </c>
      <c r="H356" s="492"/>
      <c r="I356" s="501"/>
      <c r="J356" s="492"/>
      <c r="K356" s="492"/>
      <c r="L356" s="492"/>
      <c r="M356" s="492"/>
      <c r="N356" s="492"/>
      <c r="O356" s="492"/>
      <c r="P356" s="492"/>
      <c r="Q356" s="492"/>
      <c r="R356" s="492"/>
      <c r="S356" s="492"/>
      <c r="T356" s="492"/>
      <c r="U356" s="492"/>
      <c r="V356" s="470"/>
      <c r="W356" s="470"/>
      <c r="X356" s="470"/>
      <c r="Y356" s="470"/>
    </row>
    <row r="357" spans="1:25" x14ac:dyDescent="0.35">
      <c r="A357" s="470"/>
      <c r="B357" s="492"/>
      <c r="C357" s="70"/>
      <c r="D357" s="492" t="s">
        <v>438</v>
      </c>
      <c r="E357" s="492"/>
      <c r="F357" s="492"/>
      <c r="G357" s="492" t="s">
        <v>438</v>
      </c>
      <c r="H357" s="492"/>
      <c r="I357" s="492"/>
      <c r="J357" s="492"/>
      <c r="K357" s="492"/>
      <c r="L357" s="501"/>
      <c r="M357" s="492"/>
      <c r="N357" s="492"/>
      <c r="O357" s="492"/>
      <c r="P357" s="492"/>
      <c r="Q357" s="492"/>
      <c r="R357" s="492"/>
      <c r="S357" s="492"/>
      <c r="T357" s="492"/>
      <c r="U357" s="492"/>
      <c r="V357" s="492"/>
      <c r="W357" s="492"/>
      <c r="X357" s="492"/>
      <c r="Y357" s="470"/>
    </row>
    <row r="358" spans="1:25" x14ac:dyDescent="0.35">
      <c r="A358" s="470" t="s">
        <v>588</v>
      </c>
      <c r="B358" s="492" t="s">
        <v>373</v>
      </c>
      <c r="C358" s="346">
        <f>C356+F356</f>
        <v>27.97</v>
      </c>
      <c r="D358" s="68" t="s">
        <v>230</v>
      </c>
      <c r="E358" s="492"/>
      <c r="F358" s="492"/>
      <c r="G358" s="492"/>
      <c r="H358" s="492"/>
      <c r="I358" s="492"/>
      <c r="J358" s="492"/>
      <c r="K358" s="492"/>
      <c r="L358" s="501"/>
      <c r="M358" s="492"/>
      <c r="N358" s="492"/>
      <c r="O358" s="492"/>
      <c r="P358" s="492"/>
      <c r="Q358" s="492"/>
      <c r="R358" s="492"/>
      <c r="S358" s="492"/>
      <c r="T358" s="492"/>
      <c r="U358" s="492"/>
      <c r="V358" s="492"/>
      <c r="W358" s="492"/>
      <c r="X358" s="492"/>
      <c r="Y358" s="470"/>
    </row>
    <row r="359" spans="1:25" x14ac:dyDescent="0.35">
      <c r="A359" s="470"/>
      <c r="B359" s="492"/>
      <c r="C359" s="507"/>
      <c r="D359" s="492"/>
      <c r="E359" s="492"/>
      <c r="F359" s="492"/>
      <c r="G359" s="492"/>
      <c r="H359" s="470"/>
      <c r="I359" s="470"/>
      <c r="J359" s="470"/>
      <c r="K359" s="470"/>
      <c r="L359" s="470"/>
      <c r="M359" s="470"/>
      <c r="N359" s="470"/>
      <c r="O359" s="470"/>
      <c r="P359" s="470"/>
      <c r="Q359" s="470"/>
      <c r="R359" s="470"/>
      <c r="S359" s="470"/>
      <c r="T359" s="470"/>
      <c r="U359" s="470"/>
      <c r="V359" s="470"/>
      <c r="W359" s="470"/>
      <c r="X359" s="470"/>
      <c r="Y359" s="470"/>
    </row>
    <row r="360" spans="1:25" x14ac:dyDescent="0.35">
      <c r="A360" s="62" t="s">
        <v>436</v>
      </c>
      <c r="B360" s="63" t="s">
        <v>373</v>
      </c>
      <c r="C360" s="347">
        <f>C358</f>
        <v>27.97</v>
      </c>
      <c r="D360" s="38" t="s">
        <v>243</v>
      </c>
      <c r="E360" s="35" t="s">
        <v>437</v>
      </c>
      <c r="F360" s="38">
        <v>75</v>
      </c>
      <c r="G360" s="38" t="s">
        <v>438</v>
      </c>
      <c r="H360" s="492"/>
      <c r="I360" s="492"/>
      <c r="J360" s="492"/>
      <c r="K360" s="492"/>
      <c r="L360" s="501"/>
      <c r="M360" s="492"/>
      <c r="N360" s="492"/>
      <c r="O360" s="492"/>
      <c r="P360" s="492"/>
      <c r="Q360" s="492"/>
      <c r="R360" s="492"/>
      <c r="S360" s="492"/>
      <c r="T360" s="492"/>
      <c r="U360" s="492"/>
      <c r="V360" s="492"/>
      <c r="W360" s="492"/>
      <c r="X360" s="492"/>
      <c r="Y360" s="470"/>
    </row>
    <row r="361" spans="1:25" x14ac:dyDescent="0.35">
      <c r="A361" s="62"/>
      <c r="B361" s="63"/>
      <c r="C361" s="58">
        <v>1</v>
      </c>
      <c r="D361" s="35" t="s">
        <v>438</v>
      </c>
      <c r="E361" s="35"/>
      <c r="F361" s="35"/>
      <c r="G361" s="35"/>
      <c r="H361" s="492"/>
      <c r="I361" s="492"/>
      <c r="J361" s="492"/>
      <c r="K361" s="492"/>
      <c r="L361" s="501"/>
      <c r="M361" s="492"/>
      <c r="N361" s="492"/>
      <c r="O361" s="492"/>
      <c r="P361" s="492"/>
      <c r="Q361" s="492"/>
      <c r="R361" s="492"/>
      <c r="S361" s="492"/>
      <c r="T361" s="492"/>
      <c r="U361" s="492"/>
      <c r="V361" s="492"/>
      <c r="W361" s="492"/>
      <c r="X361" s="492"/>
      <c r="Y361" s="470"/>
    </row>
    <row r="362" spans="1:25" x14ac:dyDescent="0.35">
      <c r="A362" s="62"/>
      <c r="B362" s="63" t="s">
        <v>373</v>
      </c>
      <c r="C362" s="64">
        <f>ROUNDUP((C360*F360),-3)</f>
        <v>3000</v>
      </c>
      <c r="D362" s="65" t="s">
        <v>243</v>
      </c>
      <c r="E362" s="35"/>
      <c r="F362" s="35"/>
      <c r="G362" s="35"/>
      <c r="H362" s="492"/>
      <c r="I362" s="492"/>
      <c r="J362" s="492"/>
      <c r="K362" s="492"/>
      <c r="L362" s="501"/>
      <c r="M362" s="492"/>
      <c r="N362" s="492"/>
      <c r="O362" s="492"/>
      <c r="P362" s="492"/>
      <c r="Q362" s="492"/>
      <c r="R362" s="492"/>
      <c r="S362" s="492"/>
      <c r="T362" s="492"/>
      <c r="U362" s="492"/>
      <c r="V362" s="492"/>
      <c r="W362" s="492"/>
      <c r="X362" s="492"/>
      <c r="Y362" s="470"/>
    </row>
    <row r="363" spans="1:25" x14ac:dyDescent="0.35">
      <c r="A363" s="62"/>
      <c r="B363" s="63"/>
      <c r="C363" s="58"/>
      <c r="D363" s="35"/>
      <c r="E363" s="35"/>
      <c r="F363" s="35"/>
      <c r="G363" s="35"/>
      <c r="H363" s="492"/>
      <c r="I363" s="492"/>
      <c r="J363" s="492"/>
      <c r="K363" s="492"/>
      <c r="L363" s="501"/>
      <c r="M363" s="492"/>
      <c r="N363" s="492"/>
      <c r="O363" s="492"/>
      <c r="P363" s="492"/>
      <c r="Q363" s="492"/>
      <c r="R363" s="492"/>
      <c r="S363" s="492"/>
      <c r="T363" s="492"/>
      <c r="U363" s="492"/>
      <c r="V363" s="492"/>
      <c r="W363" s="492"/>
      <c r="X363" s="492"/>
      <c r="Y363" s="470"/>
    </row>
    <row r="364" spans="1:25" ht="17" x14ac:dyDescent="0.35">
      <c r="A364" s="469"/>
      <c r="B364" s="471" t="s">
        <v>373</v>
      </c>
      <c r="C364" s="475">
        <f>C362</f>
        <v>3000</v>
      </c>
      <c r="D364" s="476" t="s">
        <v>243</v>
      </c>
      <c r="E364" s="469" t="s">
        <v>437</v>
      </c>
      <c r="F364" s="476">
        <v>1</v>
      </c>
      <c r="G364" s="476" t="s">
        <v>444</v>
      </c>
      <c r="H364" s="492"/>
      <c r="I364" s="492"/>
      <c r="J364" s="492"/>
      <c r="K364" s="492"/>
      <c r="L364" s="501"/>
      <c r="M364" s="492"/>
      <c r="N364" s="492"/>
      <c r="O364" s="492"/>
      <c r="P364" s="492"/>
      <c r="Q364" s="492"/>
      <c r="R364" s="492"/>
      <c r="S364" s="492"/>
      <c r="T364" s="492"/>
      <c r="U364" s="492"/>
      <c r="V364" s="492"/>
      <c r="W364" s="492"/>
      <c r="X364" s="492"/>
      <c r="Y364" s="470"/>
    </row>
    <row r="365" spans="1:25" x14ac:dyDescent="0.35">
      <c r="A365" s="469"/>
      <c r="B365" s="471"/>
      <c r="C365" s="26"/>
      <c r="D365" s="27"/>
      <c r="E365" s="469"/>
      <c r="F365" s="477">
        <v>7.4809999999999999</v>
      </c>
      <c r="G365" s="469" t="s">
        <v>243</v>
      </c>
      <c r="H365" s="492"/>
      <c r="I365" s="492"/>
      <c r="J365" s="492"/>
      <c r="K365" s="492"/>
      <c r="L365" s="501"/>
      <c r="M365" s="492"/>
      <c r="N365" s="492"/>
      <c r="O365" s="492"/>
      <c r="P365" s="492"/>
      <c r="Q365" s="492"/>
      <c r="R365" s="492"/>
      <c r="S365" s="492"/>
      <c r="T365" s="492"/>
      <c r="U365" s="492"/>
      <c r="V365" s="492"/>
      <c r="W365" s="492"/>
      <c r="X365" s="492"/>
      <c r="Y365" s="470"/>
    </row>
    <row r="366" spans="1:25" ht="16.5" x14ac:dyDescent="0.35">
      <c r="A366" s="469"/>
      <c r="B366" s="471" t="s">
        <v>373</v>
      </c>
      <c r="C366" s="26">
        <f>C364/F365</f>
        <v>401.01590696430958</v>
      </c>
      <c r="D366" s="27" t="s">
        <v>445</v>
      </c>
      <c r="E366" s="469"/>
      <c r="F366" s="469"/>
      <c r="G366" s="469"/>
      <c r="H366" s="492"/>
      <c r="I366" s="492"/>
      <c r="J366" s="492"/>
      <c r="K366" s="492"/>
      <c r="L366" s="501"/>
      <c r="M366" s="492"/>
      <c r="N366" s="492"/>
      <c r="O366" s="492"/>
      <c r="P366" s="492"/>
      <c r="Q366" s="492"/>
      <c r="R366" s="492"/>
      <c r="S366" s="492"/>
      <c r="T366" s="492"/>
      <c r="U366" s="492"/>
      <c r="V366" s="492"/>
      <c r="W366" s="492"/>
      <c r="X366" s="492"/>
      <c r="Y366" s="470"/>
    </row>
    <row r="367" spans="1:25" x14ac:dyDescent="0.35">
      <c r="A367" s="469"/>
      <c r="B367" s="471"/>
      <c r="C367" s="26"/>
      <c r="D367" s="27"/>
      <c r="E367" s="469"/>
      <c r="F367" s="469"/>
      <c r="G367" s="469"/>
      <c r="H367" s="492"/>
      <c r="I367" s="492"/>
      <c r="J367" s="492"/>
      <c r="K367" s="492"/>
      <c r="L367" s="501"/>
      <c r="M367" s="492"/>
      <c r="N367" s="492"/>
      <c r="O367" s="492"/>
      <c r="P367" s="492"/>
      <c r="Q367" s="492"/>
      <c r="R367" s="492"/>
      <c r="S367" s="492"/>
      <c r="T367" s="492"/>
      <c r="U367" s="492"/>
      <c r="V367" s="492"/>
      <c r="W367" s="492"/>
      <c r="X367" s="492"/>
      <c r="Y367" s="470"/>
    </row>
    <row r="368" spans="1:25" x14ac:dyDescent="0.35">
      <c r="A368" s="469" t="s">
        <v>446</v>
      </c>
      <c r="B368" s="471" t="s">
        <v>373</v>
      </c>
      <c r="C368" s="309">
        <v>10</v>
      </c>
      <c r="D368" s="310" t="s">
        <v>185</v>
      </c>
      <c r="E368" s="469"/>
      <c r="F368" s="469"/>
      <c r="G368" s="469"/>
      <c r="H368" s="492"/>
      <c r="I368" s="492"/>
      <c r="J368" s="492"/>
      <c r="K368" s="492"/>
      <c r="L368" s="501"/>
      <c r="M368" s="492"/>
      <c r="N368" s="492"/>
      <c r="O368" s="492"/>
      <c r="P368" s="492"/>
      <c r="Q368" s="492"/>
      <c r="R368" s="492"/>
      <c r="S368" s="492"/>
      <c r="T368" s="492"/>
      <c r="U368" s="492"/>
      <c r="V368" s="492"/>
      <c r="W368" s="492"/>
      <c r="X368" s="492"/>
      <c r="Y368" s="470"/>
    </row>
    <row r="369" spans="1:25" x14ac:dyDescent="0.35">
      <c r="A369" s="469"/>
      <c r="B369" s="471"/>
      <c r="C369" s="26"/>
      <c r="D369" s="27"/>
      <c r="E369" s="469"/>
      <c r="F369" s="469"/>
      <c r="G369" s="469"/>
      <c r="H369" s="492"/>
      <c r="I369" s="492"/>
      <c r="J369" s="492"/>
      <c r="K369" s="492"/>
      <c r="L369" s="501"/>
      <c r="M369" s="492"/>
      <c r="N369" s="492"/>
      <c r="O369" s="492"/>
      <c r="P369" s="492"/>
      <c r="Q369" s="492"/>
      <c r="R369" s="492"/>
      <c r="S369" s="492"/>
      <c r="T369" s="492"/>
      <c r="U369" s="492"/>
      <c r="V369" s="492"/>
      <c r="W369" s="492"/>
      <c r="X369" s="492"/>
      <c r="Y369" s="470"/>
    </row>
    <row r="370" spans="1:25" ht="17" x14ac:dyDescent="0.35">
      <c r="A370" s="469" t="s">
        <v>447</v>
      </c>
      <c r="B370" s="43" t="s">
        <v>373</v>
      </c>
      <c r="C370" s="478">
        <f>C366</f>
        <v>401.01590696430958</v>
      </c>
      <c r="D370" s="476" t="s">
        <v>444</v>
      </c>
      <c r="E370" s="469" t="s">
        <v>437</v>
      </c>
      <c r="F370" s="479">
        <v>4</v>
      </c>
      <c r="G370" s="44">
        <v>0.5</v>
      </c>
      <c r="H370" s="492"/>
      <c r="I370" s="492"/>
      <c r="J370" s="492"/>
      <c r="K370" s="492"/>
      <c r="L370" s="501"/>
      <c r="M370" s="492"/>
      <c r="N370" s="492"/>
      <c r="O370" s="492"/>
      <c r="P370" s="492"/>
      <c r="Q370" s="492"/>
      <c r="R370" s="492"/>
      <c r="S370" s="492"/>
      <c r="T370" s="492"/>
      <c r="U370" s="492"/>
      <c r="V370" s="492"/>
      <c r="W370" s="492"/>
      <c r="X370" s="492"/>
      <c r="Y370" s="470"/>
    </row>
    <row r="371" spans="1:25" x14ac:dyDescent="0.35">
      <c r="A371" s="469"/>
      <c r="B371" s="469"/>
      <c r="C371" s="480">
        <f>C368</f>
        <v>10</v>
      </c>
      <c r="D371" s="469" t="s">
        <v>185</v>
      </c>
      <c r="E371" s="469"/>
      <c r="F371" s="481" t="s">
        <v>448</v>
      </c>
      <c r="G371" s="469"/>
      <c r="H371" s="492"/>
      <c r="I371" s="492"/>
      <c r="J371" s="492"/>
      <c r="K371" s="492"/>
      <c r="L371" s="501"/>
      <c r="M371" s="492"/>
      <c r="N371" s="492"/>
      <c r="O371" s="492"/>
      <c r="P371" s="492"/>
      <c r="Q371" s="492"/>
      <c r="R371" s="492"/>
      <c r="S371" s="492"/>
      <c r="T371" s="492"/>
      <c r="U371" s="492"/>
      <c r="V371" s="492"/>
      <c r="W371" s="492"/>
      <c r="X371" s="492"/>
      <c r="Y371" s="470"/>
    </row>
    <row r="372" spans="1:25" x14ac:dyDescent="0.35">
      <c r="A372" s="469"/>
      <c r="B372" s="43" t="s">
        <v>373</v>
      </c>
      <c r="C372" s="45">
        <f>ROUNDUP(SQRT(C370/C371*F370/PI()),-0.5)</f>
        <v>8</v>
      </c>
      <c r="D372" s="27" t="s">
        <v>185</v>
      </c>
      <c r="E372" s="469"/>
      <c r="F372" s="469"/>
      <c r="G372" s="469"/>
      <c r="H372" s="492"/>
      <c r="I372" s="492"/>
      <c r="J372" s="492"/>
      <c r="K372" s="492"/>
      <c r="L372" s="501"/>
      <c r="M372" s="492"/>
      <c r="N372" s="492"/>
      <c r="O372" s="492"/>
      <c r="P372" s="492"/>
      <c r="Q372" s="492"/>
      <c r="R372" s="492"/>
      <c r="S372" s="492"/>
      <c r="T372" s="492"/>
      <c r="U372" s="492"/>
      <c r="V372" s="492"/>
      <c r="W372" s="492"/>
      <c r="X372" s="492"/>
      <c r="Y372" s="470"/>
    </row>
    <row r="373" spans="1:25" x14ac:dyDescent="0.35">
      <c r="A373" s="468"/>
      <c r="B373" s="468"/>
      <c r="C373" s="502"/>
      <c r="D373" s="468"/>
      <c r="E373" s="468"/>
      <c r="F373" s="468"/>
      <c r="G373" s="468"/>
      <c r="H373" s="468"/>
      <c r="I373" s="468"/>
      <c r="J373" s="468"/>
      <c r="K373" s="468"/>
      <c r="L373" s="468"/>
      <c r="M373" s="468"/>
      <c r="N373" s="468"/>
      <c r="O373" s="468"/>
      <c r="P373" s="468"/>
      <c r="Q373" s="468"/>
      <c r="R373" s="468"/>
      <c r="S373" s="468"/>
      <c r="T373" s="468"/>
      <c r="U373" s="468"/>
      <c r="V373" s="468"/>
      <c r="W373" s="468"/>
      <c r="X373" s="468"/>
      <c r="Y373" s="468"/>
    </row>
    <row r="374" spans="1:25" x14ac:dyDescent="0.35">
      <c r="A374" s="463" t="s">
        <v>592</v>
      </c>
      <c r="B374" s="66"/>
      <c r="C374" s="66"/>
      <c r="D374" s="66"/>
      <c r="E374" s="66"/>
      <c r="F374" s="66"/>
      <c r="G374" s="66"/>
      <c r="H374" s="66"/>
      <c r="I374" s="66"/>
      <c r="J374" s="66"/>
      <c r="K374" s="469"/>
      <c r="L374" s="469"/>
      <c r="M374" s="469"/>
      <c r="N374" s="469"/>
      <c r="O374" s="469"/>
      <c r="P374" s="469"/>
      <c r="Q374" s="469"/>
      <c r="R374" s="469"/>
      <c r="S374" s="469"/>
      <c r="T374" s="469"/>
      <c r="U374" s="469"/>
      <c r="V374" s="469"/>
      <c r="W374" s="469"/>
      <c r="X374" s="469"/>
      <c r="Y374" s="469"/>
    </row>
    <row r="375" spans="1:25" x14ac:dyDescent="0.35">
      <c r="A375" s="470" t="s">
        <v>593</v>
      </c>
      <c r="B375" s="492" t="s">
        <v>373</v>
      </c>
      <c r="C375" s="475">
        <f>SUM('TTS Equipment List Input'!C17)*1.05</f>
        <v>262.5</v>
      </c>
      <c r="D375" s="476" t="s">
        <v>594</v>
      </c>
      <c r="E375" s="469" t="s">
        <v>437</v>
      </c>
      <c r="F375" s="515">
        <v>0.74570000000000003</v>
      </c>
      <c r="G375" s="476" t="s">
        <v>595</v>
      </c>
      <c r="H375" s="469" t="s">
        <v>437</v>
      </c>
      <c r="I375" s="476">
        <v>24</v>
      </c>
      <c r="J375" s="476" t="s">
        <v>547</v>
      </c>
      <c r="K375" s="469" t="s">
        <v>437</v>
      </c>
      <c r="L375" s="476">
        <v>365</v>
      </c>
      <c r="M375" s="476" t="s">
        <v>471</v>
      </c>
      <c r="N375" s="469"/>
      <c r="O375" s="469"/>
      <c r="P375" s="469"/>
      <c r="Q375" s="469"/>
      <c r="R375" s="469"/>
      <c r="S375" s="469"/>
      <c r="T375" s="469"/>
      <c r="U375" s="469"/>
      <c r="V375" s="469"/>
      <c r="W375" s="469"/>
      <c r="X375" s="469"/>
      <c r="Y375" s="469"/>
    </row>
    <row r="376" spans="1:25" x14ac:dyDescent="0.35">
      <c r="A376" s="469" t="s">
        <v>596</v>
      </c>
      <c r="B376" s="469"/>
      <c r="C376" s="26"/>
      <c r="D376" s="27"/>
      <c r="E376" s="469"/>
      <c r="F376" s="469">
        <v>1</v>
      </c>
      <c r="G376" s="469" t="s">
        <v>594</v>
      </c>
      <c r="H376" s="469"/>
      <c r="I376" s="469">
        <v>1</v>
      </c>
      <c r="J376" s="469" t="s">
        <v>471</v>
      </c>
      <c r="K376" s="469"/>
      <c r="L376" s="469">
        <v>1</v>
      </c>
      <c r="M376" s="469" t="s">
        <v>580</v>
      </c>
      <c r="N376" s="469"/>
      <c r="O376" s="472"/>
      <c r="P376" s="469"/>
      <c r="Q376" s="469"/>
      <c r="R376" s="469"/>
      <c r="S376" s="469"/>
      <c r="T376" s="469"/>
      <c r="U376" s="469"/>
      <c r="V376" s="469"/>
      <c r="W376" s="469"/>
      <c r="X376" s="469"/>
      <c r="Y376" s="469"/>
    </row>
    <row r="377" spans="1:25" x14ac:dyDescent="0.35">
      <c r="A377" s="469"/>
      <c r="B377" s="492" t="s">
        <v>373</v>
      </c>
      <c r="C377" s="472">
        <f>C375*F375*I375*L375</f>
        <v>1714737.15</v>
      </c>
      <c r="D377" s="469" t="s">
        <v>597</v>
      </c>
      <c r="E377" s="469"/>
      <c r="F377" s="469"/>
      <c r="G377" s="469"/>
      <c r="H377" s="469"/>
      <c r="I377" s="469"/>
      <c r="J377" s="469"/>
      <c r="K377" s="469"/>
      <c r="L377" s="469"/>
      <c r="M377" s="469"/>
      <c r="N377" s="469"/>
      <c r="O377" s="469"/>
      <c r="P377" s="469"/>
      <c r="Q377" s="469"/>
      <c r="R377" s="469"/>
      <c r="S377" s="469"/>
      <c r="T377" s="469"/>
      <c r="U377" s="469"/>
      <c r="V377" s="469"/>
      <c r="W377" s="469"/>
      <c r="X377" s="469"/>
      <c r="Y377" s="469"/>
    </row>
    <row r="379" spans="1:25" x14ac:dyDescent="0.35">
      <c r="A379" s="469"/>
      <c r="B379" s="492" t="s">
        <v>373</v>
      </c>
      <c r="C379" s="475">
        <f>C377</f>
        <v>1714737.15</v>
      </c>
      <c r="D379" s="476" t="s">
        <v>598</v>
      </c>
      <c r="E379" s="469" t="s">
        <v>437</v>
      </c>
      <c r="F379" s="476"/>
      <c r="G379" s="476"/>
      <c r="H379" s="469"/>
      <c r="I379" s="469"/>
      <c r="J379" s="469"/>
      <c r="K379" s="469"/>
      <c r="L379" s="469"/>
      <c r="M379" s="469"/>
      <c r="N379" s="469"/>
      <c r="O379" s="469"/>
      <c r="P379" s="469"/>
      <c r="Q379" s="469"/>
      <c r="R379" s="469"/>
      <c r="S379" s="469"/>
      <c r="T379" s="469"/>
      <c r="U379" s="469"/>
      <c r="V379" s="469"/>
      <c r="W379" s="469"/>
      <c r="X379" s="469"/>
      <c r="Y379" s="469"/>
    </row>
    <row r="380" spans="1:25" x14ac:dyDescent="0.35">
      <c r="A380" s="469"/>
      <c r="B380" s="469"/>
      <c r="C380" s="26"/>
      <c r="D380" s="469" t="s">
        <v>580</v>
      </c>
      <c r="E380" s="469"/>
      <c r="F380" s="472">
        <f>C11</f>
        <v>1300</v>
      </c>
      <c r="G380" s="469" t="s">
        <v>230</v>
      </c>
      <c r="H380" s="469"/>
      <c r="I380" s="469"/>
      <c r="J380" s="469"/>
      <c r="K380" s="469"/>
      <c r="L380" s="469"/>
      <c r="M380" s="469"/>
      <c r="N380" s="469"/>
      <c r="O380" s="469"/>
      <c r="P380" s="469"/>
      <c r="Q380" s="469"/>
      <c r="R380" s="469"/>
      <c r="S380" s="469"/>
      <c r="T380" s="469"/>
      <c r="U380" s="469"/>
      <c r="V380" s="469"/>
      <c r="W380" s="469"/>
      <c r="X380" s="469"/>
      <c r="Y380" s="469"/>
    </row>
    <row r="381" spans="1:25" x14ac:dyDescent="0.35">
      <c r="A381" s="469"/>
      <c r="B381" s="469"/>
      <c r="C381" s="77">
        <f>C379/F380</f>
        <v>1319.0285769230768</v>
      </c>
      <c r="D381" s="78" t="s">
        <v>599</v>
      </c>
      <c r="E381" s="469"/>
      <c r="F381" s="469"/>
      <c r="G381" s="469"/>
      <c r="H381" s="469"/>
      <c r="I381" s="469"/>
      <c r="J381" s="469"/>
      <c r="K381" s="469"/>
      <c r="L381" s="469"/>
      <c r="M381" s="469"/>
      <c r="N381" s="469"/>
      <c r="O381" s="469"/>
      <c r="P381" s="469"/>
      <c r="Q381" s="469"/>
      <c r="R381" s="469"/>
      <c r="S381" s="469"/>
      <c r="T381" s="469"/>
      <c r="U381" s="469"/>
      <c r="V381" s="469"/>
      <c r="W381" s="469"/>
      <c r="X381" s="469"/>
      <c r="Y381" s="469"/>
    </row>
    <row r="384" spans="1:25" x14ac:dyDescent="0.35">
      <c r="A384" s="470" t="s">
        <v>600</v>
      </c>
      <c r="B384" s="492" t="s">
        <v>373</v>
      </c>
      <c r="C384" s="475">
        <f>SUM('TTS Equipment List Input'!C18:C38)*1.05</f>
        <v>67.304999999999993</v>
      </c>
      <c r="D384" s="476" t="s">
        <v>594</v>
      </c>
      <c r="E384" s="469" t="s">
        <v>437</v>
      </c>
      <c r="F384" s="515">
        <v>0.74570000000000003</v>
      </c>
      <c r="G384" s="476" t="s">
        <v>595</v>
      </c>
      <c r="H384" s="469" t="s">
        <v>437</v>
      </c>
      <c r="I384" s="476">
        <v>24</v>
      </c>
      <c r="J384" s="476" t="s">
        <v>547</v>
      </c>
      <c r="K384" s="469" t="s">
        <v>437</v>
      </c>
      <c r="L384" s="476">
        <v>365</v>
      </c>
      <c r="M384" s="476" t="s">
        <v>471</v>
      </c>
      <c r="N384" s="469"/>
      <c r="O384" s="469"/>
      <c r="P384" s="469"/>
      <c r="Q384" s="469"/>
      <c r="R384" s="469"/>
      <c r="S384" s="469"/>
      <c r="T384" s="469"/>
      <c r="U384" s="469"/>
      <c r="V384" s="469"/>
      <c r="W384" s="469"/>
      <c r="X384" s="469"/>
      <c r="Y384" s="469"/>
    </row>
    <row r="385" spans="1:25" x14ac:dyDescent="0.35">
      <c r="A385" s="469" t="s">
        <v>596</v>
      </c>
      <c r="B385" s="469"/>
      <c r="C385" s="26"/>
      <c r="D385" s="27"/>
      <c r="E385" s="469"/>
      <c r="F385" s="469">
        <v>1</v>
      </c>
      <c r="G385" s="469" t="s">
        <v>594</v>
      </c>
      <c r="H385" s="469"/>
      <c r="I385" s="469">
        <v>1</v>
      </c>
      <c r="J385" s="469" t="s">
        <v>471</v>
      </c>
      <c r="K385" s="469"/>
      <c r="L385" s="469">
        <v>1</v>
      </c>
      <c r="M385" s="469" t="s">
        <v>580</v>
      </c>
      <c r="N385" s="469"/>
      <c r="O385" s="469"/>
      <c r="P385" s="469"/>
      <c r="Q385" s="469"/>
      <c r="R385" s="469"/>
      <c r="S385" s="469"/>
      <c r="T385" s="469"/>
      <c r="U385" s="469"/>
      <c r="V385" s="469"/>
      <c r="W385" s="469"/>
      <c r="X385" s="469"/>
      <c r="Y385" s="469"/>
    </row>
    <row r="386" spans="1:25" x14ac:dyDescent="0.35">
      <c r="A386" s="469"/>
      <c r="B386" s="492" t="s">
        <v>373</v>
      </c>
      <c r="C386" s="472">
        <f>C384*F384*I384*L384</f>
        <v>439658.60525999998</v>
      </c>
      <c r="D386" s="469" t="s">
        <v>597</v>
      </c>
      <c r="E386" s="469"/>
      <c r="F386" s="469"/>
      <c r="G386" s="469"/>
      <c r="H386" s="469"/>
      <c r="I386" s="469"/>
      <c r="J386" s="469"/>
      <c r="K386" s="469"/>
      <c r="L386" s="469"/>
      <c r="M386" s="469"/>
      <c r="N386" s="469"/>
      <c r="O386" s="469"/>
      <c r="P386" s="469"/>
      <c r="Q386" s="469"/>
      <c r="R386" s="469"/>
      <c r="S386" s="469"/>
      <c r="T386" s="469"/>
      <c r="U386" s="469"/>
      <c r="V386" s="469"/>
      <c r="W386" s="469"/>
      <c r="X386" s="469"/>
      <c r="Y386" s="469"/>
    </row>
    <row r="388" spans="1:25" x14ac:dyDescent="0.35">
      <c r="A388" s="469"/>
      <c r="B388" s="492" t="s">
        <v>373</v>
      </c>
      <c r="C388" s="475">
        <f>C386</f>
        <v>439658.60525999998</v>
      </c>
      <c r="D388" s="476" t="s">
        <v>598</v>
      </c>
      <c r="E388" s="469" t="s">
        <v>437</v>
      </c>
      <c r="F388" s="476"/>
      <c r="G388" s="476"/>
      <c r="H388" s="469"/>
      <c r="I388" s="469"/>
      <c r="J388" s="469"/>
      <c r="K388" s="469"/>
      <c r="L388" s="469"/>
      <c r="M388" s="469"/>
      <c r="N388" s="469"/>
      <c r="O388" s="469"/>
      <c r="P388" s="469"/>
      <c r="Q388" s="469"/>
      <c r="R388" s="469"/>
      <c r="S388" s="469"/>
      <c r="T388" s="469"/>
      <c r="U388" s="469"/>
      <c r="V388" s="469"/>
      <c r="W388" s="469"/>
      <c r="X388" s="469"/>
      <c r="Y388" s="469"/>
    </row>
    <row r="389" spans="1:25" x14ac:dyDescent="0.35">
      <c r="A389"/>
      <c r="B389"/>
      <c r="C389" s="26"/>
      <c r="D389" s="469" t="s">
        <v>580</v>
      </c>
      <c r="E389" s="469"/>
      <c r="F389" s="472">
        <f>C13</f>
        <v>1600</v>
      </c>
      <c r="G389" s="469" t="s">
        <v>230</v>
      </c>
      <c r="H389" s="469"/>
      <c r="I389" s="469"/>
      <c r="J389" s="469"/>
      <c r="K389" s="469"/>
      <c r="L389" s="469"/>
      <c r="M389" s="469"/>
      <c r="N389"/>
      <c r="O389"/>
      <c r="P389"/>
      <c r="Q389"/>
      <c r="R389"/>
      <c r="S389"/>
      <c r="T389"/>
      <c r="U389"/>
      <c r="V389"/>
      <c r="W389"/>
      <c r="X389"/>
      <c r="Y389"/>
    </row>
    <row r="390" spans="1:25" x14ac:dyDescent="0.35">
      <c r="A390"/>
      <c r="B390"/>
      <c r="C390" s="77">
        <f>C388/F389</f>
        <v>274.78662828749998</v>
      </c>
      <c r="D390" s="78" t="s">
        <v>599</v>
      </c>
      <c r="E390" s="469"/>
      <c r="F390" s="469"/>
      <c r="G390" s="469"/>
      <c r="H390" s="469"/>
      <c r="I390" s="469"/>
      <c r="J390" s="469"/>
      <c r="K390" s="469"/>
      <c r="L390" s="469"/>
      <c r="M390" s="469"/>
      <c r="N390"/>
      <c r="O390"/>
      <c r="P390"/>
      <c r="Q390"/>
      <c r="R390"/>
      <c r="S390"/>
      <c r="T390"/>
      <c r="U390"/>
      <c r="V390"/>
      <c r="W390"/>
      <c r="X390"/>
      <c r="Y390"/>
    </row>
  </sheetData>
  <sheetProtection algorithmName="SHA-512" hashValue="htMyJN0m+xUsxxUy0CkS/rFZSSXXtoRpq/Kbnq2rv6/MJ/sz+LhdcmUYdC+1RS2WBbeGczlKhc6NPHxD6gRDjA==" saltValue="pWJvZhWzeSow3BGjAJ8PAw==" spinCount="100000" sheet="1" objects="1" scenarios="1"/>
  <mergeCells count="31">
    <mergeCell ref="A25:J25"/>
    <mergeCell ref="A275:J275"/>
    <mergeCell ref="A302:J302"/>
    <mergeCell ref="A319:J319"/>
    <mergeCell ref="A336:J336"/>
    <mergeCell ref="A345:J345"/>
    <mergeCell ref="A262:J262"/>
    <mergeCell ref="A31:J31"/>
    <mergeCell ref="A32:J32"/>
    <mergeCell ref="A55:J55"/>
    <mergeCell ref="A78:J78"/>
    <mergeCell ref="A99:J99"/>
    <mergeCell ref="A100:J100"/>
    <mergeCell ref="A143:J143"/>
    <mergeCell ref="A144:J144"/>
    <mergeCell ref="A203:J203"/>
    <mergeCell ref="A220:J220"/>
    <mergeCell ref="A221:J221"/>
    <mergeCell ref="A123:J123"/>
    <mergeCell ref="A124:J124"/>
    <mergeCell ref="B6:C6"/>
    <mergeCell ref="D6:E6"/>
    <mergeCell ref="F6:I6"/>
    <mergeCell ref="B7:C7"/>
    <mergeCell ref="A9:J9"/>
    <mergeCell ref="B4:C4"/>
    <mergeCell ref="D4:E4"/>
    <mergeCell ref="F4:I4"/>
    <mergeCell ref="B5:C5"/>
    <mergeCell ref="D5:E5"/>
    <mergeCell ref="F5:I5"/>
  </mergeCells>
  <pageMargins left="0.7" right="0.7" top="0.75" bottom="0.75" header="0.3" footer="0.3"/>
  <pageSetup paperSize="17" scale="46" fitToHeight="0" orientation="landscape" r:id="rId1"/>
  <headerFooter scaleWithDoc="0">
    <oddFooter>&amp;R&amp;"Arial,Regular"&amp;8&amp;P of 8</oddFooter>
  </headerFooter>
  <rowBreaks count="7" manualBreakCount="7">
    <brk id="54" max="16383" man="1"/>
    <brk id="98" max="16383" man="1"/>
    <brk id="142" max="16383" man="1"/>
    <brk id="188" max="16383" man="1"/>
    <brk id="237" max="16383" man="1"/>
    <brk id="289" max="16383" man="1"/>
    <brk id="340"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54"/>
  <sheetViews>
    <sheetView topLeftCell="A28" zoomScaleNormal="100" zoomScaleSheetLayoutView="100" workbookViewId="0">
      <selection activeCell="I47" sqref="I47"/>
    </sheetView>
  </sheetViews>
  <sheetFormatPr defaultColWidth="9.26953125" defaultRowHeight="12.5" x14ac:dyDescent="0.25"/>
  <cols>
    <col min="1" max="1" width="36.26953125" style="91" customWidth="1"/>
    <col min="2" max="2" width="12.36328125" style="91" customWidth="1"/>
    <col min="3" max="3" width="7.54296875" style="91" customWidth="1"/>
    <col min="4" max="4" width="36.36328125" style="91" customWidth="1"/>
    <col min="5" max="5" width="11.36328125" style="91" customWidth="1"/>
    <col min="6" max="6" width="11" style="91" customWidth="1"/>
    <col min="7" max="7" width="9.26953125" style="91"/>
    <col min="8" max="8" width="14.26953125" style="91" customWidth="1"/>
    <col min="9" max="9" width="11.54296875" style="91" bestFit="1" customWidth="1"/>
    <col min="10" max="16384" width="9.26953125" style="91"/>
  </cols>
  <sheetData>
    <row r="1" spans="1:9" x14ac:dyDescent="0.25">
      <c r="A1" s="7"/>
      <c r="B1" s="452"/>
      <c r="C1" s="452"/>
      <c r="D1" s="452"/>
      <c r="E1" s="452"/>
      <c r="F1" s="452"/>
      <c r="G1" s="452"/>
      <c r="H1" s="452"/>
      <c r="I1" s="452"/>
    </row>
    <row r="2" spans="1:9" ht="14.5" x14ac:dyDescent="0.35">
      <c r="A2" s="7"/>
      <c r="B2" s="452"/>
      <c r="C2" s="452"/>
      <c r="D2" s="268"/>
      <c r="E2" s="452"/>
      <c r="F2" s="452"/>
      <c r="G2" s="452"/>
      <c r="H2" s="452"/>
      <c r="I2" s="452"/>
    </row>
    <row r="3" spans="1:9" ht="23.25" customHeight="1" x14ac:dyDescent="0.25">
      <c r="A3" s="3"/>
      <c r="B3" s="452"/>
      <c r="C3" s="452"/>
      <c r="D3" s="452"/>
      <c r="E3" s="452"/>
      <c r="F3" s="452" t="s">
        <v>0</v>
      </c>
      <c r="G3" s="452"/>
      <c r="H3" s="452"/>
      <c r="I3" s="452"/>
    </row>
    <row r="4" spans="1:9" ht="13" x14ac:dyDescent="0.3">
      <c r="A4" s="451" t="s">
        <v>1</v>
      </c>
      <c r="B4" s="118" t="str">
        <f>'2019 CCP Summary'!B4</f>
        <v>REV 0 July 29, 2019</v>
      </c>
      <c r="C4" s="452"/>
      <c r="D4" s="452"/>
      <c r="E4" s="452"/>
      <c r="F4" s="452"/>
      <c r="G4" s="452"/>
      <c r="H4" s="5"/>
      <c r="I4" s="22"/>
    </row>
    <row r="5" spans="1:9" ht="13" x14ac:dyDescent="0.3">
      <c r="A5" s="453" t="s">
        <v>2</v>
      </c>
      <c r="B5" s="461">
        <v>18106417</v>
      </c>
      <c r="C5" s="452"/>
      <c r="D5" s="452"/>
      <c r="E5" s="452"/>
      <c r="F5" s="452"/>
      <c r="G5" s="452"/>
      <c r="H5" s="5"/>
      <c r="I5" s="22"/>
    </row>
    <row r="6" spans="1:9" ht="13" x14ac:dyDescent="0.3">
      <c r="A6" s="453" t="s">
        <v>3</v>
      </c>
      <c r="B6" s="414" t="s">
        <v>601</v>
      </c>
      <c r="C6" s="452"/>
      <c r="D6" s="452"/>
      <c r="E6" s="452"/>
      <c r="F6" s="452"/>
      <c r="G6" s="452"/>
      <c r="H6" s="452"/>
      <c r="I6" s="452"/>
    </row>
    <row r="7" spans="1:9" ht="14.75" customHeight="1" x14ac:dyDescent="0.3">
      <c r="A7" s="454" t="s">
        <v>5</v>
      </c>
      <c r="B7" s="460" t="str">
        <f>'2019 CCP Summary'!B7</f>
        <v>Tyrone Mine Closure Closeout Plan</v>
      </c>
      <c r="C7" s="452"/>
      <c r="D7" s="452"/>
      <c r="E7" s="452"/>
      <c r="F7" s="452"/>
      <c r="G7" s="452"/>
      <c r="H7" s="452"/>
      <c r="I7" s="452"/>
    </row>
    <row r="8" spans="1:9" ht="13" thickBot="1" x14ac:dyDescent="0.3">
      <c r="A8" s="452"/>
      <c r="B8" s="452"/>
      <c r="C8" s="452"/>
      <c r="D8" s="452"/>
      <c r="E8" s="452"/>
      <c r="F8" s="452"/>
      <c r="G8" s="452"/>
      <c r="H8" s="452"/>
      <c r="I8" s="452"/>
    </row>
    <row r="9" spans="1:9" ht="13" x14ac:dyDescent="0.3">
      <c r="A9" s="761" t="s">
        <v>602</v>
      </c>
      <c r="B9" s="762" t="s">
        <v>603</v>
      </c>
      <c r="C9" s="763" t="s">
        <v>603</v>
      </c>
      <c r="D9" s="761" t="s">
        <v>0</v>
      </c>
      <c r="E9" s="762" t="s">
        <v>603</v>
      </c>
      <c r="F9" s="763" t="s">
        <v>603</v>
      </c>
      <c r="G9" s="85"/>
      <c r="H9" s="452"/>
      <c r="I9" s="452"/>
    </row>
    <row r="10" spans="1:9" ht="129" customHeight="1" thickBot="1" x14ac:dyDescent="0.3">
      <c r="A10" s="764" t="s">
        <v>604</v>
      </c>
      <c r="B10" s="765"/>
      <c r="C10" s="766"/>
      <c r="D10" s="767" t="s">
        <v>605</v>
      </c>
      <c r="E10" s="768"/>
      <c r="F10" s="769"/>
      <c r="G10" s="85"/>
      <c r="H10" s="452"/>
      <c r="I10" s="452"/>
    </row>
    <row r="11" spans="1:9" ht="14.5" x14ac:dyDescent="0.25">
      <c r="A11" s="348" t="s">
        <v>606</v>
      </c>
      <c r="B11" s="395">
        <v>16.8</v>
      </c>
      <c r="C11" s="350"/>
      <c r="D11" s="348" t="s">
        <v>86</v>
      </c>
      <c r="E11" s="395">
        <f>B11</f>
        <v>16.8</v>
      </c>
      <c r="F11" s="350"/>
      <c r="G11" s="85"/>
      <c r="H11" s="452"/>
      <c r="I11" s="452"/>
    </row>
    <row r="12" spans="1:9" ht="14.5" x14ac:dyDescent="0.25">
      <c r="A12" s="351" t="s">
        <v>87</v>
      </c>
      <c r="B12" s="99">
        <f>'TTS O&amp;M Input'!$C$27</f>
        <v>18.600000000000001</v>
      </c>
      <c r="C12" s="352" t="s">
        <v>88</v>
      </c>
      <c r="D12" s="351" t="s">
        <v>607</v>
      </c>
      <c r="E12" s="99">
        <f>'TTS O&amp;M Input'!$C$27</f>
        <v>18.600000000000001</v>
      </c>
      <c r="F12" s="352" t="s">
        <v>88</v>
      </c>
      <c r="G12" s="85"/>
      <c r="H12" s="452"/>
      <c r="I12" s="452"/>
    </row>
    <row r="13" spans="1:9" ht="14.5" x14ac:dyDescent="0.25">
      <c r="A13" s="351" t="s">
        <v>608</v>
      </c>
      <c r="B13" s="358">
        <v>2087</v>
      </c>
      <c r="C13" s="352" t="s">
        <v>89</v>
      </c>
      <c r="D13" s="351" t="s">
        <v>609</v>
      </c>
      <c r="E13" s="358">
        <f>B13</f>
        <v>2087</v>
      </c>
      <c r="F13" s="352" t="s">
        <v>89</v>
      </c>
      <c r="G13" s="445" t="s">
        <v>0</v>
      </c>
      <c r="H13" s="452"/>
      <c r="I13" s="452"/>
    </row>
    <row r="14" spans="1:9" ht="13" thickBot="1" x14ac:dyDescent="0.3">
      <c r="A14" s="353" t="s">
        <v>90</v>
      </c>
      <c r="B14" s="359">
        <f>B11*B12*B13</f>
        <v>652145.76</v>
      </c>
      <c r="C14" s="354"/>
      <c r="D14" s="353" t="s">
        <v>90</v>
      </c>
      <c r="E14" s="359">
        <f>E11*E12*E13</f>
        <v>652145.76</v>
      </c>
      <c r="F14" s="354"/>
      <c r="G14" s="85"/>
      <c r="H14" s="452"/>
      <c r="I14" s="452"/>
    </row>
    <row r="15" spans="1:9" x14ac:dyDescent="0.25">
      <c r="A15" s="348" t="s">
        <v>95</v>
      </c>
      <c r="B15" s="349">
        <v>1</v>
      </c>
      <c r="C15" s="350"/>
      <c r="D15" s="348" t="s">
        <v>95</v>
      </c>
      <c r="E15" s="349">
        <v>1</v>
      </c>
      <c r="F15" s="350"/>
      <c r="G15" s="445" t="s">
        <v>0</v>
      </c>
      <c r="H15" s="452"/>
      <c r="I15" s="452"/>
    </row>
    <row r="16" spans="1:9" ht="14.5" x14ac:dyDescent="0.25">
      <c r="A16" s="351" t="s">
        <v>96</v>
      </c>
      <c r="B16" s="99">
        <f>'TTS O&amp;M Input'!$C$28</f>
        <v>31.1</v>
      </c>
      <c r="C16" s="352" t="s">
        <v>88</v>
      </c>
      <c r="D16" s="351" t="s">
        <v>395</v>
      </c>
      <c r="E16" s="99">
        <f>'TTS O&amp;M Input'!$C$28</f>
        <v>31.1</v>
      </c>
      <c r="F16" s="352" t="s">
        <v>88</v>
      </c>
      <c r="G16" s="85"/>
      <c r="H16" s="452"/>
      <c r="I16" s="452"/>
    </row>
    <row r="17" spans="1:9" x14ac:dyDescent="0.25">
      <c r="A17" s="351" t="s">
        <v>610</v>
      </c>
      <c r="B17" s="358">
        <f>2087</f>
        <v>2087</v>
      </c>
      <c r="C17" s="352" t="s">
        <v>89</v>
      </c>
      <c r="D17" s="351" t="s">
        <v>97</v>
      </c>
      <c r="E17" s="358">
        <f>2087</f>
        <v>2087</v>
      </c>
      <c r="F17" s="352" t="s">
        <v>89</v>
      </c>
      <c r="G17" s="85"/>
      <c r="H17" s="452"/>
      <c r="I17" s="452"/>
    </row>
    <row r="18" spans="1:9" ht="13" thickBot="1" x14ac:dyDescent="0.3">
      <c r="A18" s="353" t="s">
        <v>98</v>
      </c>
      <c r="B18" s="359">
        <f>B15*B16*B17</f>
        <v>64905.700000000004</v>
      </c>
      <c r="C18" s="354"/>
      <c r="D18" s="353" t="s">
        <v>90</v>
      </c>
      <c r="E18" s="359">
        <f>E15*E16*E17</f>
        <v>64905.700000000004</v>
      </c>
      <c r="F18" s="354"/>
      <c r="G18" s="85"/>
      <c r="H18" s="452"/>
      <c r="I18" s="452"/>
    </row>
    <row r="19" spans="1:9" x14ac:dyDescent="0.25">
      <c r="A19" s="348" t="s">
        <v>611</v>
      </c>
      <c r="B19" s="349">
        <v>2</v>
      </c>
      <c r="C19" s="350"/>
      <c r="D19" s="348" t="s">
        <v>611</v>
      </c>
      <c r="E19" s="349">
        <v>2</v>
      </c>
      <c r="F19" s="350"/>
      <c r="G19" s="85"/>
      <c r="H19" s="452"/>
      <c r="I19" s="452"/>
    </row>
    <row r="20" spans="1:9" ht="14.5" x14ac:dyDescent="0.25">
      <c r="A20" s="351" t="s">
        <v>612</v>
      </c>
      <c r="B20" s="99">
        <f>'TTS O&amp;M Input'!$C$29</f>
        <v>19.829999999999998</v>
      </c>
      <c r="C20" s="352" t="s">
        <v>88</v>
      </c>
      <c r="D20" s="351" t="s">
        <v>613</v>
      </c>
      <c r="E20" s="99">
        <f>'TTS O&amp;M Input'!$C$29</f>
        <v>19.829999999999998</v>
      </c>
      <c r="F20" s="352" t="s">
        <v>88</v>
      </c>
      <c r="G20" s="85"/>
      <c r="H20" s="452"/>
      <c r="I20" s="452"/>
    </row>
    <row r="21" spans="1:9" x14ac:dyDescent="0.25">
      <c r="A21" s="351" t="s">
        <v>614</v>
      </c>
      <c r="B21" s="358">
        <f>52*40</f>
        <v>2080</v>
      </c>
      <c r="C21" s="352" t="s">
        <v>89</v>
      </c>
      <c r="D21" s="351" t="s">
        <v>615</v>
      </c>
      <c r="E21" s="358">
        <f>52*40</f>
        <v>2080</v>
      </c>
      <c r="F21" s="352" t="s">
        <v>89</v>
      </c>
      <c r="G21" s="85"/>
      <c r="H21" s="452"/>
      <c r="I21" s="452"/>
    </row>
    <row r="22" spans="1:9" ht="13" thickBot="1" x14ac:dyDescent="0.3">
      <c r="A22" s="353" t="s">
        <v>616</v>
      </c>
      <c r="B22" s="359">
        <f>B19*B20*B21</f>
        <v>82492.799999999988</v>
      </c>
      <c r="C22" s="354"/>
      <c r="D22" s="353" t="s">
        <v>616</v>
      </c>
      <c r="E22" s="359">
        <f>E19*E20*E21</f>
        <v>82492.799999999988</v>
      </c>
      <c r="F22" s="354"/>
      <c r="G22" s="85"/>
      <c r="H22" s="452"/>
      <c r="I22" s="104"/>
    </row>
    <row r="23" spans="1:9" ht="13.5" thickBot="1" x14ac:dyDescent="0.35">
      <c r="A23" s="355" t="s">
        <v>617</v>
      </c>
      <c r="B23" s="361">
        <f>B14+B18+B22</f>
        <v>799544.26</v>
      </c>
      <c r="C23" s="356"/>
      <c r="D23" s="355" t="s">
        <v>617</v>
      </c>
      <c r="E23" s="380">
        <f>E14+E18+E22</f>
        <v>799544.26</v>
      </c>
      <c r="F23" s="356"/>
      <c r="G23" s="85"/>
      <c r="H23" s="452"/>
      <c r="I23" s="452"/>
    </row>
    <row r="24" spans="1:9" ht="14.5" x14ac:dyDescent="0.25">
      <c r="A24" s="348" t="s">
        <v>618</v>
      </c>
      <c r="B24" s="357">
        <v>0.1</v>
      </c>
      <c r="C24" s="350"/>
      <c r="D24" s="348" t="s">
        <v>618</v>
      </c>
      <c r="E24" s="357">
        <v>0.1</v>
      </c>
      <c r="F24" s="350"/>
      <c r="G24" s="85"/>
      <c r="H24" s="452"/>
      <c r="I24" s="452"/>
    </row>
    <row r="25" spans="1:9" x14ac:dyDescent="0.25">
      <c r="A25" s="351" t="s">
        <v>619</v>
      </c>
      <c r="B25" s="358">
        <f>(B17*B15)*B24</f>
        <v>208.70000000000002</v>
      </c>
      <c r="C25" s="352"/>
      <c r="D25" s="351" t="s">
        <v>619</v>
      </c>
      <c r="E25" s="358">
        <f>(E17*E15)*E24</f>
        <v>208.70000000000002</v>
      </c>
      <c r="F25" s="352"/>
      <c r="G25" s="85"/>
      <c r="H25" s="452"/>
      <c r="I25" s="452"/>
    </row>
    <row r="26" spans="1:9" ht="13" thickBot="1" x14ac:dyDescent="0.3">
      <c r="A26" s="353" t="s">
        <v>620</v>
      </c>
      <c r="B26" s="359">
        <f>B16*1.5*B25</f>
        <v>9735.8550000000014</v>
      </c>
      <c r="C26" s="354"/>
      <c r="D26" s="353" t="s">
        <v>620</v>
      </c>
      <c r="E26" s="359">
        <f>E16*1.5*E25</f>
        <v>9735.8550000000014</v>
      </c>
      <c r="F26" s="354"/>
      <c r="G26" s="85"/>
      <c r="H26" s="452"/>
      <c r="I26" s="452"/>
    </row>
    <row r="27" spans="1:9" ht="14.5" x14ac:dyDescent="0.25">
      <c r="A27" s="348" t="s">
        <v>621</v>
      </c>
      <c r="B27" s="357">
        <v>0.1</v>
      </c>
      <c r="C27" s="350"/>
      <c r="D27" s="348" t="s">
        <v>621</v>
      </c>
      <c r="E27" s="357">
        <v>0.1</v>
      </c>
      <c r="F27" s="350"/>
      <c r="G27" s="85"/>
      <c r="H27" s="452"/>
      <c r="I27" s="452"/>
    </row>
    <row r="28" spans="1:9" x14ac:dyDescent="0.25">
      <c r="A28" s="351" t="s">
        <v>622</v>
      </c>
      <c r="B28" s="358">
        <f>(B21*B19)*B27</f>
        <v>416</v>
      </c>
      <c r="C28" s="352"/>
      <c r="D28" s="351" t="s">
        <v>622</v>
      </c>
      <c r="E28" s="358">
        <f>(E21*E19)*E27</f>
        <v>416</v>
      </c>
      <c r="F28" s="352"/>
      <c r="G28" s="85"/>
      <c r="H28" s="452"/>
      <c r="I28" s="452"/>
    </row>
    <row r="29" spans="1:9" ht="13" thickBot="1" x14ac:dyDescent="0.3">
      <c r="A29" s="353" t="s">
        <v>623</v>
      </c>
      <c r="B29" s="359">
        <f>B20*1.5*B28</f>
        <v>12373.919999999998</v>
      </c>
      <c r="C29" s="354"/>
      <c r="D29" s="353" t="s">
        <v>623</v>
      </c>
      <c r="E29" s="359">
        <f>E20*1.5*E28</f>
        <v>12373.919999999998</v>
      </c>
      <c r="F29" s="354"/>
      <c r="G29" s="85"/>
      <c r="H29" s="452"/>
      <c r="I29" s="452"/>
    </row>
    <row r="30" spans="1:9" ht="14.5" x14ac:dyDescent="0.25">
      <c r="A30" s="348" t="s">
        <v>624</v>
      </c>
      <c r="B30" s="357">
        <v>0.15</v>
      </c>
      <c r="C30" s="350"/>
      <c r="D30" s="348" t="s">
        <v>624</v>
      </c>
      <c r="E30" s="357">
        <v>0.15</v>
      </c>
      <c r="F30" s="350"/>
      <c r="G30" s="85"/>
      <c r="H30" s="452"/>
      <c r="I30" s="452"/>
    </row>
    <row r="31" spans="1:9" ht="14.5" x14ac:dyDescent="0.25">
      <c r="A31" s="351" t="s">
        <v>625</v>
      </c>
      <c r="B31" s="358">
        <f>B13*B11*B30</f>
        <v>5259.24</v>
      </c>
      <c r="C31" s="352"/>
      <c r="D31" s="351" t="s">
        <v>625</v>
      </c>
      <c r="E31" s="358">
        <f>E13*E11*E30</f>
        <v>5259.24</v>
      </c>
      <c r="F31" s="352"/>
      <c r="G31" s="85"/>
      <c r="H31" s="452"/>
      <c r="I31" s="452"/>
    </row>
    <row r="32" spans="1:9" ht="13" thickBot="1" x14ac:dyDescent="0.3">
      <c r="A32" s="353" t="s">
        <v>93</v>
      </c>
      <c r="B32" s="359">
        <f>B12*1.5*B31</f>
        <v>146732.796</v>
      </c>
      <c r="C32" s="354"/>
      <c r="D32" s="353" t="s">
        <v>93</v>
      </c>
      <c r="E32" s="359">
        <f>E12*1.5*E31</f>
        <v>146732.796</v>
      </c>
      <c r="F32" s="354"/>
      <c r="G32" s="85"/>
      <c r="H32" s="452"/>
      <c r="I32" s="452"/>
    </row>
    <row r="33" spans="1:8" ht="13.5" thickBot="1" x14ac:dyDescent="0.35">
      <c r="A33" s="355" t="s">
        <v>94</v>
      </c>
      <c r="B33" s="361">
        <f>B26+B29+B32</f>
        <v>168842.571</v>
      </c>
      <c r="C33" s="356"/>
      <c r="D33" s="355" t="s">
        <v>94</v>
      </c>
      <c r="E33" s="361">
        <f>E26+E29+E32</f>
        <v>168842.571</v>
      </c>
      <c r="F33" s="356"/>
      <c r="G33" s="85"/>
      <c r="H33" s="452"/>
    </row>
    <row r="34" spans="1:8" ht="14.5" x14ac:dyDescent="0.25">
      <c r="A34" s="348" t="s">
        <v>626</v>
      </c>
      <c r="B34" s="362">
        <f>'TTS O&amp;M Input'!C30</f>
        <v>5.94</v>
      </c>
      <c r="C34" s="350" t="s">
        <v>88</v>
      </c>
      <c r="D34" s="348" t="s">
        <v>626</v>
      </c>
      <c r="E34" s="362">
        <f>'TTS O&amp;M Input'!C30</f>
        <v>5.94</v>
      </c>
      <c r="F34" s="350" t="s">
        <v>88</v>
      </c>
      <c r="G34" s="85"/>
      <c r="H34" s="452"/>
    </row>
    <row r="35" spans="1:8" x14ac:dyDescent="0.25">
      <c r="A35" s="363" t="s">
        <v>627</v>
      </c>
      <c r="B35" s="360">
        <f>B11+B15+B19</f>
        <v>19.8</v>
      </c>
      <c r="C35" s="364" t="s">
        <v>628</v>
      </c>
      <c r="D35" s="363" t="s">
        <v>627</v>
      </c>
      <c r="E35" s="360">
        <f>E11+E15+E19</f>
        <v>19.8</v>
      </c>
      <c r="F35" s="364" t="s">
        <v>628</v>
      </c>
      <c r="G35" s="445" t="s">
        <v>0</v>
      </c>
      <c r="H35" s="452"/>
    </row>
    <row r="36" spans="1:8" ht="13" thickBot="1" x14ac:dyDescent="0.3">
      <c r="A36" s="365" t="s">
        <v>99</v>
      </c>
      <c r="B36" s="366">
        <f>B13</f>
        <v>2087</v>
      </c>
      <c r="C36" s="367" t="s">
        <v>629</v>
      </c>
      <c r="D36" s="365" t="s">
        <v>99</v>
      </c>
      <c r="E36" s="366">
        <f>E13</f>
        <v>2087</v>
      </c>
      <c r="F36" s="367" t="s">
        <v>629</v>
      </c>
      <c r="G36" s="85"/>
      <c r="H36" s="452"/>
    </row>
    <row r="37" spans="1:8" ht="13" thickBot="1" x14ac:dyDescent="0.3">
      <c r="A37" s="368" t="s">
        <v>101</v>
      </c>
      <c r="B37" s="369">
        <f>B34*B35*B36</f>
        <v>245456.24400000001</v>
      </c>
      <c r="C37" s="370"/>
      <c r="D37" s="368" t="s">
        <v>101</v>
      </c>
      <c r="E37" s="369">
        <f>E34*E35*E36</f>
        <v>245456.24400000001</v>
      </c>
      <c r="F37" s="370"/>
      <c r="G37" s="85"/>
      <c r="H37" s="452"/>
    </row>
    <row r="38" spans="1:8" ht="13.5" thickBot="1" x14ac:dyDescent="0.35">
      <c r="A38" s="355" t="s">
        <v>101</v>
      </c>
      <c r="B38" s="361">
        <f>B37</f>
        <v>245456.24400000001</v>
      </c>
      <c r="C38" s="356"/>
      <c r="D38" s="355" t="s">
        <v>101</v>
      </c>
      <c r="E38" s="361">
        <f>E37</f>
        <v>245456.24400000001</v>
      </c>
      <c r="F38" s="356"/>
      <c r="G38" s="85"/>
      <c r="H38" s="452"/>
    </row>
    <row r="39" spans="1:8" ht="13" x14ac:dyDescent="0.3">
      <c r="A39" s="371" t="s">
        <v>630</v>
      </c>
      <c r="B39" s="372">
        <f>B23+B33+B38</f>
        <v>1213843.075</v>
      </c>
      <c r="C39" s="373"/>
      <c r="D39" s="371" t="s">
        <v>630</v>
      </c>
      <c r="E39" s="372">
        <f>E23+E33+E38</f>
        <v>1213843.075</v>
      </c>
      <c r="F39" s="379"/>
      <c r="G39" s="85"/>
      <c r="H39" s="452"/>
    </row>
    <row r="40" spans="1:8" ht="13" x14ac:dyDescent="0.3">
      <c r="A40" s="374" t="s">
        <v>631</v>
      </c>
      <c r="B40" s="100">
        <f>'TTS Calculation Summary'!V112</f>
        <v>179965.47452119298</v>
      </c>
      <c r="C40" s="375"/>
      <c r="D40" s="374" t="s">
        <v>632</v>
      </c>
      <c r="E40" s="100">
        <f>'TTS Calculation Summary'!V111</f>
        <v>140643.28302178744</v>
      </c>
      <c r="F40" s="375"/>
      <c r="G40" s="85"/>
      <c r="H40" s="452"/>
    </row>
    <row r="41" spans="1:8" ht="13.5" thickBot="1" x14ac:dyDescent="0.35">
      <c r="A41" s="376" t="s">
        <v>633</v>
      </c>
      <c r="B41" s="377">
        <f>B39/B40</f>
        <v>6.7448663596697607</v>
      </c>
      <c r="C41" s="378"/>
      <c r="D41" s="376" t="s">
        <v>633</v>
      </c>
      <c r="E41" s="377">
        <f>E39/E40</f>
        <v>8.6306508844219749</v>
      </c>
      <c r="F41" s="378"/>
      <c r="G41" s="85"/>
      <c r="H41" s="452"/>
    </row>
    <row r="42" spans="1:8" ht="15.75" customHeight="1" x14ac:dyDescent="0.3">
      <c r="A42" s="101" t="s">
        <v>67</v>
      </c>
      <c r="B42" s="102"/>
      <c r="C42" s="103"/>
      <c r="D42" s="103"/>
      <c r="E42" s="103"/>
      <c r="F42" s="103"/>
      <c r="G42" s="103"/>
      <c r="H42" s="452"/>
    </row>
    <row r="43" spans="1:8" ht="14.5" x14ac:dyDescent="0.25">
      <c r="A43" s="103" t="s">
        <v>634</v>
      </c>
      <c r="B43" s="103"/>
      <c r="C43" s="103"/>
      <c r="D43" s="103"/>
      <c r="E43" s="103"/>
      <c r="F43" s="103"/>
      <c r="G43" s="103"/>
      <c r="H43" s="452"/>
    </row>
    <row r="44" spans="1:8" ht="120" customHeight="1" x14ac:dyDescent="0.25">
      <c r="A44" s="720" t="s">
        <v>678</v>
      </c>
      <c r="B44" s="720"/>
      <c r="C44" s="720"/>
      <c r="D44" s="720"/>
      <c r="E44" s="720"/>
      <c r="F44" s="720"/>
      <c r="G44" s="103"/>
      <c r="H44" s="177" t="s">
        <v>0</v>
      </c>
    </row>
    <row r="45" spans="1:8" ht="34.25" customHeight="1" x14ac:dyDescent="0.25">
      <c r="A45" s="720" t="s">
        <v>635</v>
      </c>
      <c r="B45" s="720"/>
      <c r="C45" s="720"/>
      <c r="D45" s="720"/>
      <c r="E45" s="720"/>
      <c r="F45" s="720"/>
      <c r="G45" s="103"/>
      <c r="H45" s="452"/>
    </row>
    <row r="46" spans="1:8" ht="29.25" customHeight="1" x14ac:dyDescent="0.25">
      <c r="A46" s="720" t="s">
        <v>636</v>
      </c>
      <c r="B46" s="720"/>
      <c r="C46" s="720"/>
      <c r="D46" s="720"/>
      <c r="E46" s="720"/>
      <c r="F46" s="720"/>
      <c r="G46" s="103"/>
      <c r="H46" s="452"/>
    </row>
    <row r="47" spans="1:8" ht="51.75" customHeight="1" x14ac:dyDescent="0.25">
      <c r="A47" s="720" t="s">
        <v>637</v>
      </c>
      <c r="B47" s="720"/>
      <c r="C47" s="720"/>
      <c r="D47" s="720"/>
      <c r="E47" s="720"/>
      <c r="F47" s="720"/>
      <c r="G47" s="103"/>
      <c r="H47" s="452"/>
    </row>
    <row r="48" spans="1:8" ht="29.25" customHeight="1" x14ac:dyDescent="0.25">
      <c r="A48" s="720" t="s">
        <v>638</v>
      </c>
      <c r="B48" s="720"/>
      <c r="C48" s="720"/>
      <c r="D48" s="720"/>
      <c r="E48" s="720"/>
      <c r="F48" s="720"/>
      <c r="G48" s="103"/>
      <c r="H48" s="452"/>
    </row>
    <row r="49" spans="1:7" ht="14.5" x14ac:dyDescent="0.25">
      <c r="A49" s="444" t="s">
        <v>0</v>
      </c>
      <c r="B49" s="103"/>
      <c r="C49" s="103"/>
      <c r="D49" s="103"/>
      <c r="E49" s="103"/>
      <c r="F49" s="103"/>
      <c r="G49" s="103"/>
    </row>
    <row r="50" spans="1:7" x14ac:dyDescent="0.25">
      <c r="A50" s="452" t="s">
        <v>0</v>
      </c>
      <c r="B50" s="452"/>
      <c r="C50" s="452"/>
      <c r="D50" s="452"/>
      <c r="E50" s="452"/>
      <c r="F50" s="452"/>
      <c r="G50" s="452"/>
    </row>
    <row r="54" spans="1:7" x14ac:dyDescent="0.25">
      <c r="A54" s="452">
        <v>7</v>
      </c>
      <c r="B54" s="452"/>
      <c r="C54" s="452"/>
      <c r="D54" s="452"/>
      <c r="E54" s="452"/>
      <c r="F54" s="452"/>
      <c r="G54" s="452"/>
    </row>
  </sheetData>
  <sheetProtection algorithmName="SHA-512" hashValue="3ANp+MNegB4kIq8GrqvTa5mTV5WN3cIgHcevocqTUsy+BDMI51KIlczPzk8tO+P15RuQo8O2Q8nkmnXWvwRK2Q==" saltValue="NKXuq2DnE9O1C/48BmZang==" spinCount="100000" sheet="1" objects="1" scenarios="1"/>
  <mergeCells count="9">
    <mergeCell ref="A47:F47"/>
    <mergeCell ref="A48:F48"/>
    <mergeCell ref="A46:F46"/>
    <mergeCell ref="A9:C9"/>
    <mergeCell ref="D9:F9"/>
    <mergeCell ref="A10:C10"/>
    <mergeCell ref="A44:F44"/>
    <mergeCell ref="A45:F45"/>
    <mergeCell ref="D10:F10"/>
  </mergeCells>
  <pageMargins left="0.7" right="0.7" top="0.75" bottom="0.75" header="0.3" footer="0.3"/>
  <pageSetup paperSize="17" fitToHeight="0"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4"/>
  <sheetViews>
    <sheetView topLeftCell="A13" zoomScale="55" zoomScaleNormal="55" workbookViewId="0">
      <selection activeCell="D18" sqref="D18"/>
    </sheetView>
  </sheetViews>
  <sheetFormatPr defaultRowHeight="14.5" x14ac:dyDescent="0.35"/>
  <cols>
    <col min="1" max="1" width="60.36328125" bestFit="1" customWidth="1"/>
    <col min="2" max="2" width="10.36328125" customWidth="1"/>
    <col min="3" max="5" width="35.36328125" bestFit="1" customWidth="1"/>
  </cols>
  <sheetData>
    <row r="1" spans="1:5" x14ac:dyDescent="0.35">
      <c r="A1" s="1"/>
      <c r="B1" s="1"/>
      <c r="C1" s="2"/>
      <c r="D1" s="2"/>
      <c r="E1" s="2"/>
    </row>
    <row r="2" spans="1:5" x14ac:dyDescent="0.35">
      <c r="A2" s="1"/>
      <c r="B2" s="1"/>
      <c r="C2" s="2"/>
      <c r="D2" s="2"/>
      <c r="E2" s="2"/>
    </row>
    <row r="3" spans="1:5" ht="21" customHeight="1" x14ac:dyDescent="0.35">
      <c r="A3" s="3"/>
      <c r="B3" s="3"/>
      <c r="C3" s="271" t="s">
        <v>0</v>
      </c>
      <c r="D3" s="271" t="s">
        <v>0</v>
      </c>
      <c r="E3" s="271" t="s">
        <v>0</v>
      </c>
    </row>
    <row r="4" spans="1:5" x14ac:dyDescent="0.35">
      <c r="A4" s="451" t="s">
        <v>1</v>
      </c>
      <c r="B4" s="451"/>
      <c r="C4" s="118"/>
      <c r="D4" s="118">
        <v>43599</v>
      </c>
      <c r="E4" s="118">
        <v>43599</v>
      </c>
    </row>
    <row r="5" spans="1:5" x14ac:dyDescent="0.35">
      <c r="A5" s="453" t="s">
        <v>2</v>
      </c>
      <c r="B5" s="453"/>
      <c r="C5" s="6"/>
      <c r="D5" s="6">
        <v>18106417</v>
      </c>
      <c r="E5" s="6">
        <v>18106417</v>
      </c>
    </row>
    <row r="6" spans="1:5" x14ac:dyDescent="0.35">
      <c r="A6" s="453" t="s">
        <v>3</v>
      </c>
      <c r="B6" s="453"/>
      <c r="C6" s="6"/>
      <c r="D6" s="6" t="s">
        <v>639</v>
      </c>
      <c r="E6" s="6" t="s">
        <v>639</v>
      </c>
    </row>
    <row r="7" spans="1:5" x14ac:dyDescent="0.35">
      <c r="A7" s="454" t="s">
        <v>5</v>
      </c>
      <c r="B7" s="454"/>
      <c r="C7" s="6"/>
      <c r="D7" s="6" t="s">
        <v>640</v>
      </c>
      <c r="E7" s="6" t="s">
        <v>640</v>
      </c>
    </row>
    <row r="8" spans="1:5" x14ac:dyDescent="0.35">
      <c r="A8" s="454"/>
      <c r="B8" s="454"/>
      <c r="C8" s="6"/>
      <c r="D8" s="6"/>
      <c r="E8" s="6"/>
    </row>
    <row r="9" spans="1:5" ht="23" x14ac:dyDescent="0.5">
      <c r="A9" s="770" t="s">
        <v>641</v>
      </c>
      <c r="B9" s="770"/>
      <c r="C9" s="770"/>
      <c r="D9" s="770"/>
    </row>
    <row r="10" spans="1:5" x14ac:dyDescent="0.35">
      <c r="A10" s="9" t="s">
        <v>9</v>
      </c>
      <c r="B10" s="9" t="s">
        <v>642</v>
      </c>
      <c r="C10" s="269" t="s">
        <v>643</v>
      </c>
      <c r="D10" s="269" t="s">
        <v>644</v>
      </c>
      <c r="E10" s="269" t="s">
        <v>645</v>
      </c>
    </row>
    <row r="11" spans="1:5" ht="15.75" customHeight="1" x14ac:dyDescent="0.35">
      <c r="A11" s="398" t="s">
        <v>409</v>
      </c>
      <c r="B11" s="398" t="s">
        <v>230</v>
      </c>
      <c r="C11" s="400">
        <v>1400</v>
      </c>
      <c r="D11" s="400">
        <v>1000</v>
      </c>
      <c r="E11" s="400">
        <v>1000</v>
      </c>
    </row>
    <row r="12" spans="1:5" ht="15.75" customHeight="1" x14ac:dyDescent="0.35">
      <c r="A12" s="11" t="s">
        <v>410</v>
      </c>
      <c r="B12" s="11" t="s">
        <v>230</v>
      </c>
      <c r="C12" s="401">
        <v>700</v>
      </c>
      <c r="D12" s="401">
        <v>900</v>
      </c>
      <c r="E12" s="401">
        <v>900</v>
      </c>
    </row>
    <row r="13" spans="1:5" x14ac:dyDescent="0.35">
      <c r="A13" s="398" t="s">
        <v>411</v>
      </c>
      <c r="B13" s="398" t="s">
        <v>230</v>
      </c>
      <c r="C13" s="400">
        <v>1100</v>
      </c>
      <c r="D13" s="400">
        <v>1300</v>
      </c>
      <c r="E13" s="400">
        <v>1300</v>
      </c>
    </row>
    <row r="14" spans="1:5" x14ac:dyDescent="0.35">
      <c r="A14" s="11" t="s">
        <v>412</v>
      </c>
      <c r="B14" s="11" t="s">
        <v>230</v>
      </c>
      <c r="C14" s="401">
        <v>620</v>
      </c>
      <c r="D14" s="401">
        <v>1110</v>
      </c>
      <c r="E14" s="401">
        <v>1110</v>
      </c>
    </row>
    <row r="15" spans="1:5" x14ac:dyDescent="0.35">
      <c r="A15" s="398" t="s">
        <v>413</v>
      </c>
      <c r="B15" s="398" t="s">
        <v>414</v>
      </c>
      <c r="C15" s="400">
        <v>6858.393508587802</v>
      </c>
      <c r="D15" s="400">
        <v>3617.0199573820501</v>
      </c>
      <c r="E15" s="400">
        <v>3617.0199573820501</v>
      </c>
    </row>
    <row r="16" spans="1:5" x14ac:dyDescent="0.35">
      <c r="A16" s="11" t="s">
        <v>415</v>
      </c>
      <c r="B16" s="11" t="s">
        <v>414</v>
      </c>
      <c r="C16" s="401">
        <v>3636.3839657221251</v>
      </c>
      <c r="D16" s="401">
        <v>3474.4894864658486</v>
      </c>
      <c r="E16" s="401">
        <v>3474.4894864658486</v>
      </c>
    </row>
    <row r="17" spans="1:5" x14ac:dyDescent="0.35">
      <c r="A17" s="11" t="s">
        <v>416</v>
      </c>
      <c r="B17" s="11" t="s">
        <v>230</v>
      </c>
      <c r="C17" s="401">
        <v>123.50834769768119</v>
      </c>
      <c r="D17" s="401">
        <v>87.857650090592003</v>
      </c>
      <c r="E17" s="401">
        <v>87.857650090592003</v>
      </c>
    </row>
    <row r="18" spans="1:5" x14ac:dyDescent="0.35">
      <c r="A18" s="398" t="s">
        <v>417</v>
      </c>
      <c r="B18" s="398" t="s">
        <v>418</v>
      </c>
      <c r="C18" s="400">
        <v>295452.99989571888</v>
      </c>
      <c r="D18" s="400">
        <v>254847.68080516317</v>
      </c>
      <c r="E18" s="400">
        <v>254847.68080516317</v>
      </c>
    </row>
    <row r="19" spans="1:5" x14ac:dyDescent="0.35">
      <c r="A19" s="11" t="s">
        <v>419</v>
      </c>
      <c r="B19" s="11" t="s">
        <v>418</v>
      </c>
      <c r="C19" s="401">
        <v>108339.61122482012</v>
      </c>
      <c r="D19" s="401">
        <v>209268.49262724869</v>
      </c>
      <c r="E19" s="401">
        <v>209268.49262724869</v>
      </c>
    </row>
    <row r="20" spans="1:5" x14ac:dyDescent="0.35">
      <c r="A20" s="398" t="s">
        <v>420</v>
      </c>
      <c r="B20" s="398" t="s">
        <v>230</v>
      </c>
      <c r="C20" s="400">
        <v>1500</v>
      </c>
      <c r="D20" s="400">
        <v>1200</v>
      </c>
      <c r="E20" s="400">
        <v>1200</v>
      </c>
    </row>
    <row r="21" spans="1:5" x14ac:dyDescent="0.35">
      <c r="A21" s="11" t="s">
        <v>421</v>
      </c>
      <c r="B21" s="11" t="s">
        <v>230</v>
      </c>
      <c r="C21" s="401">
        <v>800</v>
      </c>
      <c r="D21" s="401">
        <v>1100</v>
      </c>
      <c r="E21" s="401">
        <v>1100</v>
      </c>
    </row>
    <row r="22" spans="1:5" x14ac:dyDescent="0.35">
      <c r="A22" s="11"/>
      <c r="B22" s="11"/>
      <c r="C22" s="400"/>
      <c r="D22" s="400"/>
      <c r="E22" s="400"/>
    </row>
    <row r="23" spans="1:5" x14ac:dyDescent="0.35">
      <c r="A23" s="398"/>
      <c r="B23" s="398"/>
      <c r="C23" s="399"/>
      <c r="D23" s="399"/>
      <c r="E23" s="399"/>
    </row>
    <row r="24" spans="1:5" x14ac:dyDescent="0.35">
      <c r="A24" s="11"/>
      <c r="B24" s="11"/>
      <c r="C24" s="12">
        <f>'Short Term ETS Cash Flow 2019'!H111</f>
        <v>17063018.544309072</v>
      </c>
      <c r="D24" s="12">
        <f>'Short Term ETS Cash Flow 2019'!I111</f>
        <v>19731217.716809072</v>
      </c>
      <c r="E24" s="12">
        <f>'Short Term ETS Cash Flow 2019'!J111</f>
        <v>0</v>
      </c>
    </row>
    <row r="25" spans="1:5" x14ac:dyDescent="0.35">
      <c r="A25" s="11"/>
      <c r="B25" s="11"/>
      <c r="C25" s="12">
        <f>'Long Term ETS Cash Flow 2019'!M111</f>
        <v>7559078.6870805928</v>
      </c>
      <c r="D25" s="12">
        <f>'Long Term ETS Cash Flow 2019'!N111</f>
        <v>15167714.904456189</v>
      </c>
      <c r="E25" s="12">
        <f>'Long Term ETS Cash Flow 2019'!O111</f>
        <v>0</v>
      </c>
    </row>
    <row r="26" spans="1:5" x14ac:dyDescent="0.35">
      <c r="A26" s="11"/>
      <c r="B26" s="11"/>
      <c r="C26" s="12">
        <f>SUM('TTS Cash Flow'!F111:K111)</f>
        <v>100303735.66071582</v>
      </c>
      <c r="D26" s="12">
        <f>SUM('TTS Cash Flow'!G111:L111)</f>
        <v>242505014.00380486</v>
      </c>
      <c r="E26" s="12">
        <f>SUM('TTS Cash Flow'!H111:M111)</f>
        <v>228629427.51350284</v>
      </c>
    </row>
    <row r="27" spans="1:5" x14ac:dyDescent="0.35">
      <c r="A27" s="11"/>
      <c r="B27" s="11"/>
      <c r="C27" s="12">
        <f>'Water Conveyance Cash Flow 2019'!J110</f>
        <v>6618316.1026015282</v>
      </c>
      <c r="D27" s="12">
        <f>'Water Conveyance Cash Flow 2019'!K110</f>
        <v>14211879.480562314</v>
      </c>
      <c r="E27" s="12">
        <f>'Water Conveyance Cash Flow 2019'!L110</f>
        <v>0</v>
      </c>
    </row>
    <row r="28" spans="1:5" x14ac:dyDescent="0.35">
      <c r="A28" s="11"/>
      <c r="B28" s="11"/>
      <c r="C28" s="12">
        <v>0</v>
      </c>
      <c r="D28" s="12">
        <v>0</v>
      </c>
      <c r="E28" s="12">
        <v>0</v>
      </c>
    </row>
    <row r="29" spans="1:5" x14ac:dyDescent="0.35">
      <c r="A29" s="11"/>
      <c r="B29" s="11"/>
      <c r="C29" s="12">
        <v>0</v>
      </c>
      <c r="D29" s="12">
        <v>0</v>
      </c>
      <c r="E29" s="12">
        <v>0</v>
      </c>
    </row>
    <row r="30" spans="1:5" x14ac:dyDescent="0.35">
      <c r="A30" s="13"/>
      <c r="B30" s="13"/>
      <c r="C30" s="14">
        <f>SUM(C24:C29)</f>
        <v>131544148.99470702</v>
      </c>
      <c r="D30" s="14">
        <f>SUM(D24:D29)</f>
        <v>291615826.10563242</v>
      </c>
      <c r="E30" s="14">
        <f>SUM(E24:E29)</f>
        <v>228629427.51350284</v>
      </c>
    </row>
    <row r="31" spans="1:5" x14ac:dyDescent="0.35">
      <c r="A31" s="175"/>
      <c r="B31" s="175"/>
      <c r="C31" s="176">
        <f>C30*C12</f>
        <v>92080904296.294907</v>
      </c>
      <c r="D31" s="176">
        <f>D30*D12</f>
        <v>262454243495.06918</v>
      </c>
      <c r="E31" s="176">
        <f>E30*E12</f>
        <v>205766484762.15256</v>
      </c>
    </row>
    <row r="32" spans="1:5" x14ac:dyDescent="0.35">
      <c r="A32" s="16"/>
      <c r="B32" s="16"/>
      <c r="C32" s="15">
        <f>SUM(C30:C31)</f>
        <v>92212448445.289612</v>
      </c>
      <c r="D32" s="15">
        <f>SUM(D30:D31)</f>
        <v>262745859321.1748</v>
      </c>
      <c r="E32" s="15">
        <f>SUM(E30:E31)</f>
        <v>205995114189.66605</v>
      </c>
    </row>
    <row r="33" spans="1:5" x14ac:dyDescent="0.35">
      <c r="A33" s="9" t="s">
        <v>40</v>
      </c>
      <c r="B33" s="9"/>
      <c r="C33" s="10"/>
      <c r="D33" s="10"/>
      <c r="E33" s="10"/>
    </row>
    <row r="34" spans="1:5" x14ac:dyDescent="0.35">
      <c r="A34" s="11" t="s">
        <v>36</v>
      </c>
      <c r="B34" s="11"/>
      <c r="C34" s="12">
        <f>SUM('Short Term ETS Cash Flow 2019'!E111:F111)</f>
        <v>1336899.1725000001</v>
      </c>
      <c r="D34" s="12">
        <f>SUM('Short Term ETS Cash Flow 2019'!F111:G111)</f>
        <v>382928414.07508272</v>
      </c>
      <c r="E34" s="12">
        <f>SUM('Short Term ETS Cash Flow 2019'!G111:H111)</f>
        <v>398834258.94689178</v>
      </c>
    </row>
    <row r="35" spans="1:5" x14ac:dyDescent="0.35">
      <c r="A35" s="11" t="s">
        <v>24</v>
      </c>
      <c r="B35" s="11"/>
      <c r="C35" s="12">
        <f>SUM('Long Term ETS Cash Flow 2019'!D111:I111)</f>
        <v>6351324.2173755802</v>
      </c>
      <c r="D35" s="12">
        <f>SUM('Long Term ETS Cash Flow 2019'!E111:J111)</f>
        <v>5184625.9573755795</v>
      </c>
      <c r="E35" s="12">
        <f>SUM('Long Term ETS Cash Flow 2019'!F111:K111)</f>
        <v>15936420.715338567</v>
      </c>
    </row>
    <row r="36" spans="1:5" x14ac:dyDescent="0.35">
      <c r="A36" s="11" t="s">
        <v>646</v>
      </c>
      <c r="B36" s="11"/>
      <c r="C36" s="12">
        <f>SUM('TTS Cash Flow'!C111:E111)</f>
        <v>105570872.27065682</v>
      </c>
      <c r="D36" s="12">
        <f>SUM('TTS Cash Flow'!D111:F111)</f>
        <v>89565482.689195096</v>
      </c>
      <c r="E36" s="12">
        <f>SUM('TTS Cash Flow'!E111:G111)</f>
        <v>94111215.129168704</v>
      </c>
    </row>
    <row r="37" spans="1:5" x14ac:dyDescent="0.35">
      <c r="A37" s="11" t="s">
        <v>647</v>
      </c>
      <c r="B37" s="11"/>
      <c r="C37" s="12">
        <f>SUM('Water Conveyance Cash Flow 2019'!D110:G110)</f>
        <v>6633702.3779607927</v>
      </c>
      <c r="D37" s="12">
        <f>SUM('Water Conveyance Cash Flow 2019'!E110:H110)</f>
        <v>3700196.0323887886</v>
      </c>
      <c r="E37" s="12">
        <f>SUM('Water Conveyance Cash Flow 2019'!F110:I110)</f>
        <v>149005782.79021597</v>
      </c>
    </row>
    <row r="38" spans="1:5" x14ac:dyDescent="0.35">
      <c r="A38" s="11" t="s">
        <v>648</v>
      </c>
      <c r="B38" s="11"/>
      <c r="C38" s="12">
        <f>'Sludge Disposal Cash Flow 2019'!H110-'Sludge Disposal Cash Flow 2019'!C110</f>
        <v>5142345.7834538072</v>
      </c>
      <c r="D38" s="12">
        <f>'Sludge Disposal Cash Flow 2019'!I110-'Sludge Disposal Cash Flow 2019'!D110</f>
        <v>-183573.21527513734</v>
      </c>
      <c r="E38" s="12">
        <f>'Sludge Disposal Cash Flow 2019'!J110-'Sludge Disposal Cash Flow 2019'!E110</f>
        <v>0</v>
      </c>
    </row>
    <row r="39" spans="1:5" x14ac:dyDescent="0.35">
      <c r="A39" s="11" t="s">
        <v>32</v>
      </c>
      <c r="B39" s="11"/>
      <c r="C39" s="12">
        <f>'Salt Disposal Cash Flow 2019'!H110-'Salt Disposal Cash Flow 2019'!C110</f>
        <v>7352254.9599298267</v>
      </c>
      <c r="D39" s="12">
        <f>'Salt Disposal Cash Flow 2019'!I110-'Salt Disposal Cash Flow 2019'!D110</f>
        <v>-225230.08462499976</v>
      </c>
      <c r="E39" s="12">
        <f>'Salt Disposal Cash Flow 2019'!J110-'Salt Disposal Cash Flow 2019'!E110</f>
        <v>0</v>
      </c>
    </row>
    <row r="40" spans="1:5" x14ac:dyDescent="0.35">
      <c r="A40" s="13" t="s">
        <v>41</v>
      </c>
      <c r="B40" s="13"/>
      <c r="C40" s="14">
        <f>SUM(C34:C39)</f>
        <v>132387398.78187682</v>
      </c>
      <c r="D40" s="14">
        <f>SUM(D34:D39)</f>
        <v>480969915.45414209</v>
      </c>
      <c r="E40" s="14">
        <f>SUM(E34:E39)</f>
        <v>657887677.58161497</v>
      </c>
    </row>
    <row r="41" spans="1:5" x14ac:dyDescent="0.35">
      <c r="A41" s="175" t="s">
        <v>42</v>
      </c>
      <c r="B41" s="175"/>
      <c r="C41" s="176">
        <f>C40*C12</f>
        <v>92671179147.313766</v>
      </c>
      <c r="D41" s="176">
        <f>D40*D12</f>
        <v>432872923908.72791</v>
      </c>
      <c r="E41" s="176">
        <f>E40*E12</f>
        <v>592098909823.45349</v>
      </c>
    </row>
    <row r="42" spans="1:5" x14ac:dyDescent="0.35">
      <c r="A42" s="16" t="s">
        <v>43</v>
      </c>
      <c r="B42" s="16"/>
      <c r="C42" s="15">
        <f>SUM(C40:C41)</f>
        <v>92803566546.095642</v>
      </c>
      <c r="D42" s="15">
        <f>SUM(D40:D41)</f>
        <v>433353893824.18207</v>
      </c>
      <c r="E42" s="15">
        <f>SUM(E40:E41)</f>
        <v>592756797501.03516</v>
      </c>
    </row>
    <row r="43" spans="1:5" x14ac:dyDescent="0.35">
      <c r="A43" s="9" t="s">
        <v>44</v>
      </c>
      <c r="B43" s="9"/>
      <c r="C43" s="17">
        <f>SUM(C42,C32)</f>
        <v>185016014991.38525</v>
      </c>
      <c r="D43" s="17">
        <f>SUM(D42,D32)</f>
        <v>696099753145.35693</v>
      </c>
      <c r="E43" s="17">
        <f>SUM(E42,E32)</f>
        <v>798751911690.70117</v>
      </c>
    </row>
    <row r="44" spans="1:5" x14ac:dyDescent="0.35">
      <c r="A44" s="16" t="s">
        <v>45</v>
      </c>
      <c r="B44" s="16"/>
      <c r="C44" s="15">
        <f>+C22+C43</f>
        <v>185016014991.38525</v>
      </c>
      <c r="D44" s="15">
        <f>+D22+D43</f>
        <v>696099753145.35693</v>
      </c>
      <c r="E44" s="15">
        <f>+E22+E43</f>
        <v>798751911690.70117</v>
      </c>
    </row>
  </sheetData>
  <mergeCells count="1">
    <mergeCell ref="A9:D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6F8A180932544A753A2DB3A2ADAD9" ma:contentTypeVersion="15" ma:contentTypeDescription="Create a new document." ma:contentTypeScope="" ma:versionID="50ad4d1e5a0e3759eda036c3156004bd">
  <xsd:schema xmlns:xsd="http://www.w3.org/2001/XMLSchema" xmlns:xs="http://www.w3.org/2001/XMLSchema" xmlns:p="http://schemas.microsoft.com/office/2006/metadata/properties" xmlns:ns1="http://schemas.microsoft.com/sharepoint/v3" xmlns:ns3="25a3576c-576b-455c-ab19-8dd46e246030" xmlns:ns4="a2b30e64-5d77-4c43-ae26-aa40e25a29c8" targetNamespace="http://schemas.microsoft.com/office/2006/metadata/properties" ma:root="true" ma:fieldsID="a081b315db047c023e5ae9b2aedd6c84" ns1:_="" ns3:_="" ns4:_="">
    <xsd:import namespace="http://schemas.microsoft.com/sharepoint/v3"/>
    <xsd:import namespace="25a3576c-576b-455c-ab19-8dd46e246030"/>
    <xsd:import namespace="a2b30e64-5d77-4c43-ae26-aa40e25a29c8"/>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a3576c-576b-455c-ab19-8dd46e2460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b30e64-5d77-4c43-ae26-aa40e25a29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BA40983-E2DB-4832-B56D-8264E0F2F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a3576c-576b-455c-ab19-8dd46e246030"/>
    <ds:schemaRef ds:uri="a2b30e64-5d77-4c43-ae26-aa40e25a2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7475C-C3B1-480A-A3F7-4393BCC2C1A0}">
  <ds:schemaRefs>
    <ds:schemaRef ds:uri="http://schemas.microsoft.com/sharepoint/v3/contenttype/forms"/>
  </ds:schemaRefs>
</ds:datastoreItem>
</file>

<file path=customXml/itemProps3.xml><?xml version="1.0" encoding="utf-8"?>
<ds:datastoreItem xmlns:ds="http://schemas.openxmlformats.org/officeDocument/2006/customXml" ds:itemID="{9ACC1201-34C9-4F87-83ED-8AA78D3DEAA2}">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a2b30e64-5d77-4c43-ae26-aa40e25a29c8"/>
    <ds:schemaRef ds:uri="http://purl.org/dc/dcmitype/"/>
    <ds:schemaRef ds:uri="http://schemas.microsoft.com/office/infopath/2007/PartnerControls"/>
    <ds:schemaRef ds:uri="http://schemas.openxmlformats.org/package/2006/metadata/core-properties"/>
    <ds:schemaRef ds:uri="25a3576c-576b-455c-ab19-8dd46e24603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2019 CCP Summary</vt:lpstr>
      <vt:lpstr>2019 CCP Cash Flow</vt:lpstr>
      <vt:lpstr>Short Term ETS Cash Flow 2019</vt:lpstr>
      <vt:lpstr>Short Term ETS Labor 2019</vt:lpstr>
      <vt:lpstr>Long Term ETS Cash Flow 2019</vt:lpstr>
      <vt:lpstr>Salt Disposal Cash Flow 2019</vt:lpstr>
      <vt:lpstr>Water Conveyance Cash Flow 2019</vt:lpstr>
      <vt:lpstr>TTS Cash Flow</vt:lpstr>
      <vt:lpstr>Sludge Disposal Cash Flow 2019</vt:lpstr>
      <vt:lpstr>TTS Capital Cost</vt:lpstr>
      <vt:lpstr>TTS Equipment List Input</vt:lpstr>
      <vt:lpstr>TTS Calculation Summary</vt:lpstr>
      <vt:lpstr>Sheet1</vt:lpstr>
      <vt:lpstr>TTS Analytical Costs</vt:lpstr>
      <vt:lpstr>TTS O&amp;M Input</vt:lpstr>
      <vt:lpstr>TTS Design Calcs</vt:lpstr>
      <vt:lpstr>TTS Labor</vt:lpstr>
      <vt:lpstr>Chino Tyrone Comparison</vt:lpstr>
      <vt:lpstr>'2019 CCP Cash Flow'!Print_Area</vt:lpstr>
      <vt:lpstr>'2019 CCP Summary'!Print_Area</vt:lpstr>
      <vt:lpstr>'Long Term ETS Cash Flow 2019'!Print_Area</vt:lpstr>
      <vt:lpstr>'Salt Disposal Cash Flow 2019'!Print_Area</vt:lpstr>
      <vt:lpstr>'Short Term ETS Cash Flow 2019'!Print_Area</vt:lpstr>
      <vt:lpstr>'Short Term ETS Labor 2019'!Print_Area</vt:lpstr>
      <vt:lpstr>'Sludge Disposal Cash Flow 2019'!Print_Area</vt:lpstr>
      <vt:lpstr>'TTS Analytical Costs'!Print_Area</vt:lpstr>
      <vt:lpstr>'TTS Calculation Summary'!Print_Area</vt:lpstr>
      <vt:lpstr>'TTS Capital Cost'!Print_Area</vt:lpstr>
      <vt:lpstr>'TTS Cash Flow'!Print_Area</vt:lpstr>
      <vt:lpstr>'TTS Labor'!Print_Area</vt:lpstr>
      <vt:lpstr>'TTS O&amp;M Input'!Print_Area</vt:lpstr>
      <vt:lpstr>'Water Conveyance Cash Flow 2019'!Print_Area</vt:lpstr>
      <vt:lpstr>'2019 CCP Cash Flow'!Print_Titles</vt:lpstr>
      <vt:lpstr>'Long Term ETS Cash Flow 2019'!Print_Titles</vt:lpstr>
      <vt:lpstr>'Salt Disposal Cash Flow 2019'!Print_Titles</vt:lpstr>
      <vt:lpstr>'Short Term ETS Cash Flow 2019'!Print_Titles</vt:lpstr>
      <vt:lpstr>'Sludge Disposal Cash Flow 2019'!Print_Titles</vt:lpstr>
      <vt:lpstr>'TTS Analytical Costs'!Print_Titles</vt:lpstr>
      <vt:lpstr>'TTS Design Calcs'!Print_Titles</vt:lpstr>
      <vt:lpstr>'TTS O&amp;M Input'!Print_Titles</vt:lpstr>
      <vt:lpstr>'Water Conveyance Cash Flow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Schipper, Ryan</dc:creator>
  <cp:keywords/>
  <dc:description/>
  <cp:lastModifiedBy>Administrator</cp:lastModifiedBy>
  <cp:revision/>
  <cp:lastPrinted>2020-04-28T20:30:35Z</cp:lastPrinted>
  <dcterms:created xsi:type="dcterms:W3CDTF">2018-11-08T20:28:53Z</dcterms:created>
  <dcterms:modified xsi:type="dcterms:W3CDTF">2020-04-30T14:25:23Z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0x01010028B6F8A180932544A753A2DB3A2ADAD9</vt:lpwstr>
  </property>
  <property fmtid="{D5CDD505-2E9C-101B-9397-08002B2CF9AE}" pid="3" name="Document Type">
    <vt:lpwstr/>
  </property>
  <property fmtid="{D5CDD505-2E9C-101B-9397-08002B2CF9AE}" pid="4" name="AuthorIds_UIVersion_7168">
    <vt:lpwstr>26</vt:lpwstr>
  </property>
</Properties>
</file>