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defaultThemeVersion="124226"/>
  <mc:AlternateContent xmlns:mc="http://schemas.openxmlformats.org/markup-compatibility/2006">
    <mc:Choice Requires="x15">
      <x15ac:absPath xmlns:x15ac="http://schemas.microsoft.com/office/spreadsheetml/2010/11/ac" url="C:\Users\092783\Desktop\Cobre Projects\Cobre CCP\Final\Submitted\Attachment 1\"/>
    </mc:Choice>
  </mc:AlternateContent>
  <bookViews>
    <workbookView xWindow="0" yWindow="0" windowWidth="20496" windowHeight="7248" tabRatio="632" activeTab="3"/>
  </bookViews>
  <sheets>
    <sheet name="1 Reclamation and O&amp;M costs" sheetId="55" r:id="rId1"/>
    <sheet name="2 Sampling Cost" sheetId="65" r:id="rId2"/>
    <sheet name="3 WM cash flow" sheetId="57" r:id="rId3"/>
    <sheet name="4 Summary" sheetId="66" r:id="rId4"/>
    <sheet name="Unit Cost Table" sheetId="60" r:id="rId5"/>
    <sheet name="Summary Table" sheetId="64" r:id="rId6"/>
  </sheets>
  <externalReferences>
    <externalReference r:id="rId7"/>
    <externalReference r:id="rId8"/>
    <externalReference r:id="rId9"/>
  </externalReferences>
  <definedNames>
    <definedName name="_xlnm.Print_Area" localSheetId="0">'1 Reclamation and O&amp;M costs'!$D$1:$U$135</definedName>
    <definedName name="_xlnm.Print_Area" localSheetId="1">'2 Sampling Cost'!$B$1:$O$44</definedName>
    <definedName name="_xlnm.Print_Area" localSheetId="2">'3 WM cash flow'!$B$2:$F$113</definedName>
    <definedName name="_xlnm.Print_Area" localSheetId="5">'Summary Table'!$A$3:$D$27</definedName>
    <definedName name="_xlnm.Print_Area" localSheetId="4">'Unit Cost Table'!$B$2:$F$41</definedName>
    <definedName name="_xlnm.Print_Titles" localSheetId="0">'1 Reclamation and O&amp;M costs'!$D:$E,'1 Reclamation and O&amp;M costs'!$1:$3</definedName>
    <definedName name="_xlnm.Print_Titles" localSheetId="2">'3 WM cash flow'!$2:$12</definedName>
  </definedNames>
  <calcPr calcId="162913"/>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23" i="60" l="1"/>
  <c r="D22" i="60"/>
  <c r="D21" i="60"/>
  <c r="D20" i="60"/>
  <c r="D33" i="60"/>
  <c r="D36" i="60"/>
  <c r="D35" i="60"/>
  <c r="C44" i="65"/>
  <c r="B18" i="65"/>
  <c r="C7" i="57" l="1"/>
  <c r="C6" i="57"/>
  <c r="C5" i="57"/>
  <c r="B14" i="57"/>
  <c r="B15" i="57" s="1"/>
  <c r="B16" i="57" s="1"/>
  <c r="B17" i="57" s="1"/>
  <c r="B18" i="57" s="1"/>
  <c r="B19" i="57" s="1"/>
  <c r="B20" i="57" s="1"/>
  <c r="B21" i="57" s="1"/>
  <c r="B22" i="57" s="1"/>
  <c r="B23" i="57" s="1"/>
  <c r="B24" i="57" s="1"/>
  <c r="B25" i="57" s="1"/>
  <c r="B26" i="57" s="1"/>
  <c r="B27" i="57" s="1"/>
  <c r="B28" i="57" s="1"/>
  <c r="B29" i="57" s="1"/>
  <c r="B30" i="57" s="1"/>
  <c r="B31" i="57" s="1"/>
  <c r="B32" i="57" s="1"/>
  <c r="B33" i="57" s="1"/>
  <c r="B34" i="57" s="1"/>
  <c r="B35" i="57" s="1"/>
  <c r="B36" i="57" s="1"/>
  <c r="B37" i="57" s="1"/>
  <c r="B38" i="57" s="1"/>
  <c r="B39" i="57" s="1"/>
  <c r="B40" i="57" s="1"/>
  <c r="B41" i="57" s="1"/>
  <c r="B42" i="57" s="1"/>
  <c r="B43" i="57" s="1"/>
  <c r="B44" i="57" s="1"/>
  <c r="B45" i="57" s="1"/>
  <c r="B46" i="57" s="1"/>
  <c r="B47" i="57" s="1"/>
  <c r="B48" i="57" s="1"/>
  <c r="B49" i="57" s="1"/>
  <c r="B50" i="57" s="1"/>
  <c r="B51" i="57" s="1"/>
  <c r="B52" i="57" s="1"/>
  <c r="B53" i="57" s="1"/>
  <c r="B54" i="57" s="1"/>
  <c r="B55" i="57" s="1"/>
  <c r="B56" i="57" s="1"/>
  <c r="B57" i="57" s="1"/>
  <c r="B58" i="57" s="1"/>
  <c r="B59" i="57" s="1"/>
  <c r="B60" i="57" s="1"/>
  <c r="B61" i="57" s="1"/>
  <c r="B62" i="57" s="1"/>
  <c r="B63" i="57" s="1"/>
  <c r="B64" i="57" s="1"/>
  <c r="B65" i="57" s="1"/>
  <c r="B66" i="57" s="1"/>
  <c r="B67" i="57" s="1"/>
  <c r="B68" i="57" s="1"/>
  <c r="B69" i="57" s="1"/>
  <c r="B70" i="57" s="1"/>
  <c r="B71" i="57" s="1"/>
  <c r="B72" i="57" s="1"/>
  <c r="B73" i="57" s="1"/>
  <c r="B74" i="57" s="1"/>
  <c r="B75" i="57" s="1"/>
  <c r="B76" i="57" s="1"/>
  <c r="B77" i="57" s="1"/>
  <c r="B78" i="57" s="1"/>
  <c r="B79" i="57" s="1"/>
  <c r="B80" i="57" s="1"/>
  <c r="B81" i="57" s="1"/>
  <c r="B82" i="57" s="1"/>
  <c r="B83" i="57" s="1"/>
  <c r="B84" i="57" s="1"/>
  <c r="B85" i="57" s="1"/>
  <c r="B86" i="57" s="1"/>
  <c r="B87" i="57" s="1"/>
  <c r="B88" i="57" s="1"/>
  <c r="B89" i="57" s="1"/>
  <c r="B90" i="57" s="1"/>
  <c r="B91" i="57" s="1"/>
  <c r="B92" i="57" s="1"/>
  <c r="B93" i="57" s="1"/>
  <c r="B94" i="57" s="1"/>
  <c r="B95" i="57" s="1"/>
  <c r="B96" i="57" s="1"/>
  <c r="B97" i="57" s="1"/>
  <c r="B98" i="57" s="1"/>
  <c r="B99" i="57" s="1"/>
  <c r="B100" i="57" s="1"/>
  <c r="B101" i="57" s="1"/>
  <c r="B102" i="57" s="1"/>
  <c r="B103" i="57" s="1"/>
  <c r="B104" i="57" s="1"/>
  <c r="B105" i="57" s="1"/>
  <c r="B106" i="57" s="1"/>
  <c r="B107" i="57" s="1"/>
  <c r="B108" i="57" s="1"/>
  <c r="B109" i="57" s="1"/>
  <c r="B110" i="57" s="1"/>
  <c r="B111" i="57" s="1"/>
  <c r="B112" i="57" s="1"/>
  <c r="K108" i="55" l="1"/>
  <c r="K110" i="55"/>
  <c r="B9" i="64" l="1"/>
  <c r="R35" i="55"/>
  <c r="O112" i="55"/>
  <c r="O111" i="55"/>
  <c r="O110" i="55"/>
  <c r="O108" i="55"/>
  <c r="O107" i="55"/>
  <c r="O106" i="55"/>
  <c r="O105" i="55"/>
  <c r="O104" i="55"/>
  <c r="O103" i="55"/>
  <c r="O102" i="55"/>
  <c r="O101" i="55"/>
  <c r="O100" i="55"/>
  <c r="O99" i="55"/>
  <c r="O98" i="55"/>
  <c r="O97" i="55"/>
  <c r="O96" i="55"/>
  <c r="O95" i="55"/>
  <c r="T95" i="55" s="1"/>
  <c r="L132" i="55" l="1"/>
  <c r="L131" i="55"/>
  <c r="L130" i="55"/>
  <c r="L129" i="55"/>
  <c r="L128" i="55"/>
  <c r="L127" i="55"/>
  <c r="L126" i="55"/>
  <c r="L125" i="55"/>
  <c r="L124" i="55"/>
  <c r="L123" i="55"/>
  <c r="L122" i="55"/>
  <c r="J132" i="55"/>
  <c r="J131" i="55"/>
  <c r="J130" i="55"/>
  <c r="J129" i="55"/>
  <c r="J126" i="55"/>
  <c r="N112" i="55"/>
  <c r="N111" i="55"/>
  <c r="N110" i="55"/>
  <c r="N109" i="55"/>
  <c r="N108" i="55"/>
  <c r="N107" i="55"/>
  <c r="N106" i="55"/>
  <c r="N105" i="55"/>
  <c r="N104" i="55"/>
  <c r="N103" i="55"/>
  <c r="N102" i="55"/>
  <c r="N101" i="55"/>
  <c r="N100" i="55"/>
  <c r="N99" i="55"/>
  <c r="N98" i="55"/>
  <c r="N97" i="55"/>
  <c r="N96" i="55"/>
  <c r="N95" i="55"/>
  <c r="K6" i="65" l="1"/>
  <c r="I6" i="65"/>
  <c r="C6" i="65" l="1"/>
  <c r="S7" i="57" l="1"/>
  <c r="D17" i="60" l="1"/>
  <c r="D18" i="60" l="1"/>
  <c r="P30" i="55" l="1"/>
  <c r="P29" i="55"/>
  <c r="P28" i="55"/>
  <c r="M122" i="55"/>
  <c r="I112" i="55"/>
  <c r="I109" i="55"/>
  <c r="I111" i="55"/>
  <c r="I110" i="55"/>
  <c r="I108" i="55"/>
  <c r="I107" i="55"/>
  <c r="I106" i="55"/>
  <c r="I105" i="55"/>
  <c r="I104" i="55"/>
  <c r="I103" i="55"/>
  <c r="I102" i="55"/>
  <c r="I101" i="55"/>
  <c r="I100" i="55"/>
  <c r="I99" i="55"/>
  <c r="I98" i="55"/>
  <c r="I97" i="55"/>
  <c r="I96" i="55"/>
  <c r="I95" i="55"/>
  <c r="G60" i="55"/>
  <c r="G59" i="55"/>
  <c r="G58" i="55"/>
  <c r="G57" i="55"/>
  <c r="G56" i="55"/>
  <c r="G55" i="55"/>
  <c r="G54" i="55"/>
  <c r="G53" i="55"/>
  <c r="G52" i="55"/>
  <c r="G51" i="55"/>
  <c r="G50" i="55"/>
  <c r="G49" i="55"/>
  <c r="G48" i="55"/>
  <c r="G47" i="55"/>
  <c r="G46" i="55"/>
  <c r="G45" i="55"/>
  <c r="D37" i="60" l="1"/>
  <c r="E6" i="65" s="1"/>
  <c r="U40" i="55" l="1"/>
  <c r="U45" i="55"/>
  <c r="M132" i="55" l="1"/>
  <c r="M131" i="55"/>
  <c r="M130" i="55"/>
  <c r="M129" i="55"/>
  <c r="M128" i="55"/>
  <c r="M127" i="55"/>
  <c r="M126" i="55"/>
  <c r="M125" i="55"/>
  <c r="M124" i="55"/>
  <c r="M123" i="55"/>
  <c r="U60" i="55"/>
  <c r="U59" i="55"/>
  <c r="U58" i="55"/>
  <c r="U57" i="55"/>
  <c r="U56" i="55"/>
  <c r="U55" i="55"/>
  <c r="U54" i="55"/>
  <c r="U53" i="55"/>
  <c r="U52" i="55"/>
  <c r="U51" i="55"/>
  <c r="U50" i="55"/>
  <c r="U49" i="55"/>
  <c r="U48" i="55"/>
  <c r="U47" i="55"/>
  <c r="U46" i="55"/>
  <c r="L32" i="55" l="1"/>
  <c r="D70" i="55" l="1"/>
  <c r="E70" i="55"/>
  <c r="D71" i="55"/>
  <c r="E71" i="55"/>
  <c r="D72" i="55"/>
  <c r="E72" i="55"/>
  <c r="D73" i="55"/>
  <c r="E73" i="55"/>
  <c r="D74" i="55"/>
  <c r="E74" i="55"/>
  <c r="D75" i="55"/>
  <c r="E75" i="55"/>
  <c r="D76" i="55"/>
  <c r="E76" i="55"/>
  <c r="D77" i="55"/>
  <c r="E77" i="55"/>
  <c r="D78" i="55"/>
  <c r="E78" i="55"/>
  <c r="D79" i="55"/>
  <c r="E79" i="55"/>
  <c r="D80" i="55"/>
  <c r="E80" i="55"/>
  <c r="D81" i="55"/>
  <c r="E81" i="55"/>
  <c r="D82" i="55"/>
  <c r="E82" i="55"/>
  <c r="D83" i="55"/>
  <c r="E83" i="55"/>
  <c r="D84" i="55"/>
  <c r="E84" i="55"/>
  <c r="D85" i="55"/>
  <c r="E85" i="55"/>
  <c r="D86" i="55"/>
  <c r="D87" i="55"/>
  <c r="E87" i="55"/>
  <c r="D88" i="55"/>
  <c r="E88" i="55"/>
  <c r="E69" i="55"/>
  <c r="D69" i="55"/>
  <c r="R28" i="55" l="1"/>
  <c r="U3" i="55"/>
  <c r="U1" i="55"/>
  <c r="O19" i="55" l="1"/>
  <c r="T60" i="55" l="1"/>
  <c r="T54" i="55" l="1"/>
  <c r="T53" i="55"/>
  <c r="D102" i="55" l="1"/>
  <c r="O24" i="55" l="1"/>
  <c r="I47" i="55" s="1"/>
  <c r="I52" i="55" l="1"/>
  <c r="I49" i="55"/>
  <c r="I48" i="55"/>
  <c r="M36" i="55" l="1"/>
  <c r="K102" i="55"/>
  <c r="F4" i="57"/>
  <c r="O3" i="65" s="1"/>
  <c r="F2" i="57"/>
  <c r="O1" i="65" s="1"/>
  <c r="S8" i="57" l="1"/>
  <c r="T51" i="55" l="1"/>
  <c r="D110" i="55" l="1"/>
  <c r="D107" i="55"/>
  <c r="D95" i="55"/>
  <c r="F122" i="55"/>
  <c r="J122" i="55" s="1"/>
  <c r="F127" i="55"/>
  <c r="J127" i="55" s="1"/>
  <c r="F125" i="55"/>
  <c r="J125" i="55" s="1"/>
  <c r="F124" i="55"/>
  <c r="J124" i="55" s="1"/>
  <c r="F123" i="55"/>
  <c r="J123" i="55" s="1"/>
  <c r="L48" i="55"/>
  <c r="C11" i="64"/>
  <c r="D11" i="64" s="1"/>
  <c r="I37" i="55" l="1"/>
  <c r="P37" i="55" s="1"/>
  <c r="J96" i="55"/>
  <c r="J97" i="55"/>
  <c r="J98" i="55"/>
  <c r="J99" i="55"/>
  <c r="J100" i="55"/>
  <c r="J101" i="55"/>
  <c r="J102" i="55"/>
  <c r="J103" i="55"/>
  <c r="J104" i="55"/>
  <c r="J105" i="55"/>
  <c r="J106" i="55"/>
  <c r="J107" i="55"/>
  <c r="J108" i="55"/>
  <c r="J109" i="55"/>
  <c r="J110" i="55"/>
  <c r="J111" i="55"/>
  <c r="J95" i="55"/>
  <c r="H59" i="55"/>
  <c r="H58" i="55"/>
  <c r="H57" i="55"/>
  <c r="H56" i="55"/>
  <c r="H55" i="55"/>
  <c r="H54" i="55"/>
  <c r="H53" i="55"/>
  <c r="H52" i="55"/>
  <c r="H51" i="55"/>
  <c r="H50" i="55"/>
  <c r="H49" i="55"/>
  <c r="H48" i="55"/>
  <c r="H47" i="55"/>
  <c r="H46" i="55"/>
  <c r="H45" i="55"/>
  <c r="L29" i="55"/>
  <c r="L30" i="55"/>
  <c r="L31" i="55"/>
  <c r="L33" i="55"/>
  <c r="L34" i="55"/>
  <c r="L35" i="55"/>
  <c r="L36" i="55"/>
  <c r="L37" i="55"/>
  <c r="L28" i="55"/>
  <c r="R29" i="55" l="1"/>
  <c r="O23" i="55" l="1"/>
  <c r="I50" i="55" l="1"/>
  <c r="K100" i="55" s="1"/>
  <c r="I53" i="55"/>
  <c r="K103" i="55" s="1"/>
  <c r="I54" i="55"/>
  <c r="K104" i="55" s="1"/>
  <c r="I51" i="55"/>
  <c r="K101" i="55" s="1"/>
  <c r="I59" i="55"/>
  <c r="K111" i="55" s="1"/>
  <c r="M31" i="55"/>
  <c r="N31" i="55" s="1"/>
  <c r="B13" i="65"/>
  <c r="G87" i="55"/>
  <c r="O45" i="55"/>
  <c r="P45" i="55" s="1"/>
  <c r="Q45" i="55" s="1"/>
  <c r="O47" i="55"/>
  <c r="O48" i="55"/>
  <c r="P48" i="55" s="1"/>
  <c r="Q48" i="55" s="1"/>
  <c r="O63" i="55"/>
  <c r="O62" i="55"/>
  <c r="O58" i="55"/>
  <c r="P58" i="55" s="1"/>
  <c r="Q58" i="55" s="1"/>
  <c r="R58" i="55" s="1"/>
  <c r="O56" i="55"/>
  <c r="P56" i="55" s="1"/>
  <c r="Q56" i="55" s="1"/>
  <c r="R56" i="55" s="1"/>
  <c r="O55" i="55"/>
  <c r="P55" i="55" s="1"/>
  <c r="Q55" i="55" s="1"/>
  <c r="R55" i="55" s="1"/>
  <c r="O54" i="55"/>
  <c r="P54" i="55" s="1"/>
  <c r="Q54" i="55" s="1"/>
  <c r="R54" i="55" s="1"/>
  <c r="O53" i="55"/>
  <c r="P53" i="55" s="1"/>
  <c r="Q53" i="55" s="1"/>
  <c r="R53" i="55" s="1"/>
  <c r="O50" i="55"/>
  <c r="O46" i="55"/>
  <c r="M49" i="55"/>
  <c r="L52" i="55"/>
  <c r="L49" i="55"/>
  <c r="O49" i="55" s="1"/>
  <c r="T112" i="55"/>
  <c r="T111" i="55"/>
  <c r="T110" i="55"/>
  <c r="T108" i="55"/>
  <c r="T107" i="55"/>
  <c r="T106" i="55"/>
  <c r="T105" i="55"/>
  <c r="T104" i="55"/>
  <c r="T103" i="55"/>
  <c r="T102" i="55"/>
  <c r="T101" i="55"/>
  <c r="T100" i="55"/>
  <c r="T96" i="55"/>
  <c r="T97" i="55"/>
  <c r="T98" i="55"/>
  <c r="T99" i="55"/>
  <c r="P112" i="55"/>
  <c r="R112" i="55" s="1"/>
  <c r="P111" i="55"/>
  <c r="P110" i="55"/>
  <c r="R110" i="55" s="1"/>
  <c r="P109" i="55"/>
  <c r="P108" i="55"/>
  <c r="P107" i="55"/>
  <c r="R107" i="55" s="1"/>
  <c r="P106" i="55"/>
  <c r="P105" i="55"/>
  <c r="P104" i="55"/>
  <c r="P103" i="55"/>
  <c r="P102" i="55"/>
  <c r="P101" i="55"/>
  <c r="P100" i="55"/>
  <c r="P99" i="55"/>
  <c r="P98" i="55"/>
  <c r="P97" i="55"/>
  <c r="P96" i="55"/>
  <c r="P95" i="55"/>
  <c r="T117" i="55" l="1"/>
  <c r="B15" i="64" s="1"/>
  <c r="C15" i="64" s="1"/>
  <c r="M35" i="55"/>
  <c r="K54" i="55"/>
  <c r="O52" i="55"/>
  <c r="B14" i="65"/>
  <c r="B15" i="65"/>
  <c r="S90" i="55"/>
  <c r="B14" i="64" s="1"/>
  <c r="C14" i="64" s="1"/>
  <c r="R95" i="55"/>
  <c r="R111" i="55"/>
  <c r="R96" i="55"/>
  <c r="R100" i="55"/>
  <c r="R104" i="55"/>
  <c r="R108" i="55"/>
  <c r="R101" i="55"/>
  <c r="R99" i="55"/>
  <c r="R109" i="55"/>
  <c r="R105" i="55"/>
  <c r="R97" i="55"/>
  <c r="R98" i="55"/>
  <c r="R102" i="55"/>
  <c r="R106" i="55"/>
  <c r="R103" i="55"/>
  <c r="D112" i="55"/>
  <c r="F128" i="55"/>
  <c r="J128" i="55" s="1"/>
  <c r="G132" i="55"/>
  <c r="G124" i="55"/>
  <c r="G126" i="55"/>
  <c r="G129" i="55"/>
  <c r="G130" i="55"/>
  <c r="G131" i="55"/>
  <c r="E97" i="55"/>
  <c r="D100" i="55"/>
  <c r="J112" i="55"/>
  <c r="H60" i="55"/>
  <c r="L15" i="65"/>
  <c r="L14" i="65"/>
  <c r="L13" i="65"/>
  <c r="B6" i="65" s="1"/>
  <c r="D6" i="65" s="1"/>
  <c r="E114" i="55"/>
  <c r="E115" i="55"/>
  <c r="D115" i="55"/>
  <c r="D114" i="55"/>
  <c r="E95" i="55"/>
  <c r="E96" i="55"/>
  <c r="E98" i="55"/>
  <c r="E99" i="55"/>
  <c r="E100" i="55"/>
  <c r="E101" i="55"/>
  <c r="E102" i="55"/>
  <c r="E103" i="55"/>
  <c r="E104" i="55"/>
  <c r="E105" i="55"/>
  <c r="E106" i="55" s="1"/>
  <c r="E107" i="55"/>
  <c r="E108" i="55"/>
  <c r="E110" i="55"/>
  <c r="E111" i="55"/>
  <c r="E112" i="55"/>
  <c r="D96" i="55"/>
  <c r="D97" i="55"/>
  <c r="D98" i="55"/>
  <c r="D99" i="55"/>
  <c r="D101" i="55"/>
  <c r="D103" i="55"/>
  <c r="D104" i="55"/>
  <c r="D105" i="55"/>
  <c r="D106" i="55" s="1"/>
  <c r="D108" i="55"/>
  <c r="D111" i="55"/>
  <c r="N35" i="55" l="1"/>
  <c r="K109" i="55"/>
  <c r="Q131" i="55"/>
  <c r="I131" i="55"/>
  <c r="Q129" i="55"/>
  <c r="I129" i="55"/>
  <c r="Q126" i="55"/>
  <c r="I126" i="55"/>
  <c r="I130" i="55"/>
  <c r="Q130" i="55"/>
  <c r="Q124" i="55"/>
  <c r="I124" i="55"/>
  <c r="Q132" i="55"/>
  <c r="I132" i="55"/>
  <c r="D15" i="64"/>
  <c r="R116" i="55"/>
  <c r="K53" i="55"/>
  <c r="G125" i="55"/>
  <c r="G127" i="55"/>
  <c r="G128" i="55"/>
  <c r="G122" i="55"/>
  <c r="I122" i="55" l="1"/>
  <c r="Q122" i="55"/>
  <c r="Q128" i="55"/>
  <c r="I128" i="55"/>
  <c r="Q127" i="55"/>
  <c r="I127" i="55"/>
  <c r="I125" i="55"/>
  <c r="Q125" i="55"/>
  <c r="D14" i="64"/>
  <c r="I55" i="55"/>
  <c r="I45" i="55"/>
  <c r="H128" i="55"/>
  <c r="I60" i="55"/>
  <c r="I46" i="55"/>
  <c r="K58" i="55"/>
  <c r="I56" i="55"/>
  <c r="K56" i="55" l="1"/>
  <c r="P81" i="55" s="1"/>
  <c r="Q81" i="55" s="1"/>
  <c r="K107" i="55"/>
  <c r="K55" i="55"/>
  <c r="K105" i="55"/>
  <c r="K106" i="55" s="1"/>
  <c r="S13" i="57"/>
  <c r="S101" i="55"/>
  <c r="L101" i="55"/>
  <c r="K47" i="55"/>
  <c r="M29" i="55"/>
  <c r="N29" i="55" s="1"/>
  <c r="O29" i="55" s="1"/>
  <c r="K48" i="55"/>
  <c r="K50" i="55"/>
  <c r="K59" i="55"/>
  <c r="K49" i="55"/>
  <c r="P74" i="55" s="1"/>
  <c r="Q74" i="55" s="1"/>
  <c r="S35" i="55"/>
  <c r="K57" i="55"/>
  <c r="K52" i="55"/>
  <c r="P77" i="55" s="1"/>
  <c r="Q77" i="55" s="1"/>
  <c r="J60" i="55"/>
  <c r="K98" i="55"/>
  <c r="N36" i="55"/>
  <c r="M32" i="55"/>
  <c r="N32" i="55" s="1"/>
  <c r="K99" i="55"/>
  <c r="K97" i="55"/>
  <c r="H124" i="55" s="1"/>
  <c r="K95" i="55"/>
  <c r="K112" i="55"/>
  <c r="H131" i="55" s="1"/>
  <c r="K96" i="55"/>
  <c r="H123" i="55" s="1"/>
  <c r="M37" i="55"/>
  <c r="N37" i="55" s="1"/>
  <c r="M28" i="55"/>
  <c r="M30" i="55"/>
  <c r="N30" i="55" s="1"/>
  <c r="M34" i="55"/>
  <c r="N34" i="55" s="1"/>
  <c r="O34" i="55" s="1"/>
  <c r="M33" i="55"/>
  <c r="N33" i="55" s="1"/>
  <c r="R77" i="55" l="1"/>
  <c r="R74" i="55"/>
  <c r="K60" i="55"/>
  <c r="R13" i="57"/>
  <c r="R81" i="55"/>
  <c r="L109" i="55"/>
  <c r="M109" i="55" s="1"/>
  <c r="Q109" i="55" s="1"/>
  <c r="S109" i="55"/>
  <c r="K45" i="55"/>
  <c r="P70" i="55" s="1"/>
  <c r="Q70" i="55" s="1"/>
  <c r="R70" i="55" s="1"/>
  <c r="H127" i="55"/>
  <c r="H126" i="55"/>
  <c r="L104" i="55"/>
  <c r="H130" i="55"/>
  <c r="L95" i="55"/>
  <c r="H122" i="55"/>
  <c r="L98" i="55"/>
  <c r="M98" i="55" s="1"/>
  <c r="Q98" i="55" s="1"/>
  <c r="H132" i="55"/>
  <c r="H125" i="55"/>
  <c r="L103" i="55"/>
  <c r="M103" i="55" s="1"/>
  <c r="Q103" i="55" s="1"/>
  <c r="H129" i="55"/>
  <c r="K51" i="55"/>
  <c r="P76" i="55" s="1"/>
  <c r="Q76" i="55" s="1"/>
  <c r="K46" i="55"/>
  <c r="P71" i="55" s="1"/>
  <c r="Q71" i="55" s="1"/>
  <c r="S108" i="55"/>
  <c r="L108" i="55"/>
  <c r="S107" i="55"/>
  <c r="L107" i="55"/>
  <c r="S102" i="55"/>
  <c r="L102" i="55"/>
  <c r="S97" i="55"/>
  <c r="L97" i="55"/>
  <c r="S99" i="55"/>
  <c r="L99" i="55"/>
  <c r="M99" i="55" s="1"/>
  <c r="Q99" i="55" s="1"/>
  <c r="S96" i="55"/>
  <c r="L96" i="55"/>
  <c r="N28" i="55"/>
  <c r="O28" i="55" s="1"/>
  <c r="Q28" i="55" s="1"/>
  <c r="S28" i="55"/>
  <c r="S100" i="55"/>
  <c r="L100" i="55"/>
  <c r="S111" i="55"/>
  <c r="L111" i="55"/>
  <c r="S105" i="55"/>
  <c r="L105" i="55"/>
  <c r="S112" i="55"/>
  <c r="L112" i="55"/>
  <c r="S110" i="55"/>
  <c r="L110" i="55"/>
  <c r="O37" i="55"/>
  <c r="S104" i="55"/>
  <c r="S95" i="55"/>
  <c r="S98" i="55"/>
  <c r="S103" i="55"/>
  <c r="P78" i="55"/>
  <c r="Q78" i="55" s="1"/>
  <c r="Z13" i="57"/>
  <c r="R76" i="55" l="1"/>
  <c r="R78" i="55"/>
  <c r="R71" i="55"/>
  <c r="Y13" i="57"/>
  <c r="AC13" i="57"/>
  <c r="S106" i="55"/>
  <c r="S117" i="55" s="1"/>
  <c r="B21" i="64" s="1"/>
  <c r="C21" i="64" s="1"/>
  <c r="L106" i="55"/>
  <c r="M106" i="55" s="1"/>
  <c r="Q106" i="55" s="1"/>
  <c r="M95" i="55"/>
  <c r="Q95" i="55" s="1"/>
  <c r="D13" i="57" l="1"/>
  <c r="N124" i="55"/>
  <c r="O124" i="55" s="1"/>
  <c r="N126" i="55"/>
  <c r="N132" i="55"/>
  <c r="O132" i="55" s="1"/>
  <c r="N129" i="55"/>
  <c r="O129" i="55" s="1"/>
  <c r="P129" i="55" s="1"/>
  <c r="N131" i="55"/>
  <c r="O131" i="55" s="1"/>
  <c r="N130" i="55"/>
  <c r="N127" i="55"/>
  <c r="O127" i="55" s="1"/>
  <c r="P127" i="55" s="1"/>
  <c r="N128" i="55"/>
  <c r="O128" i="55" s="1"/>
  <c r="N122" i="55"/>
  <c r="N125" i="55"/>
  <c r="O125" i="55" s="1"/>
  <c r="P125" i="55" s="1"/>
  <c r="L6" i="65"/>
  <c r="X13" i="57"/>
  <c r="D21" i="64"/>
  <c r="O126" i="55" l="1"/>
  <c r="P126" i="55" s="1"/>
  <c r="O130" i="55"/>
  <c r="P130" i="55" s="1"/>
  <c r="P124" i="55" l="1"/>
  <c r="R37" i="55" l="1"/>
  <c r="S37" i="55" s="1"/>
  <c r="Q37" i="55"/>
  <c r="P132" i="55" l="1"/>
  <c r="I31" i="55" l="1"/>
  <c r="P31" i="55" s="1"/>
  <c r="S29" i="55"/>
  <c r="R30" i="55"/>
  <c r="I32" i="55"/>
  <c r="P32" i="55" s="1"/>
  <c r="I33" i="55"/>
  <c r="P33" i="55" s="1"/>
  <c r="I34" i="55"/>
  <c r="P34" i="55" s="1"/>
  <c r="I36" i="55"/>
  <c r="P36" i="55" s="1"/>
  <c r="P62" i="55"/>
  <c r="Q62" i="55" s="1"/>
  <c r="R62" i="55" s="1"/>
  <c r="P63" i="55"/>
  <c r="Q63" i="55" s="1"/>
  <c r="R63" i="55" s="1"/>
  <c r="G88" i="55"/>
  <c r="R48" i="55"/>
  <c r="R45" i="55"/>
  <c r="P46" i="55"/>
  <c r="P47" i="55"/>
  <c r="P50" i="55"/>
  <c r="Q50" i="55" s="1"/>
  <c r="R50" i="55" s="1"/>
  <c r="P52" i="55"/>
  <c r="Q52" i="55" s="1"/>
  <c r="R52" i="55" s="1"/>
  <c r="H108" i="55"/>
  <c r="O60" i="55"/>
  <c r="P60" i="55" s="1"/>
  <c r="Q60" i="55" s="1"/>
  <c r="R60" i="55" s="1"/>
  <c r="F6" i="65"/>
  <c r="O59" i="55"/>
  <c r="P59" i="55" s="1"/>
  <c r="Q59" i="55" s="1"/>
  <c r="R59" i="55" s="1"/>
  <c r="M14" i="57"/>
  <c r="Q14" i="57"/>
  <c r="W14" i="57"/>
  <c r="AB14" i="57"/>
  <c r="AC14" i="57" s="1"/>
  <c r="I29" i="55"/>
  <c r="I30" i="55"/>
  <c r="I35" i="55"/>
  <c r="I28" i="55"/>
  <c r="AF14" i="57"/>
  <c r="M97" i="55"/>
  <c r="Q97" i="55" s="1"/>
  <c r="M100" i="55"/>
  <c r="Q100" i="55" s="1"/>
  <c r="M101" i="55"/>
  <c r="Q101" i="55" s="1"/>
  <c r="M102" i="55"/>
  <c r="Q102" i="55" s="1"/>
  <c r="M104" i="55"/>
  <c r="Q104" i="55" s="1"/>
  <c r="M105" i="55"/>
  <c r="Q105" i="55" s="1"/>
  <c r="M107" i="55"/>
  <c r="Q107" i="55" s="1"/>
  <c r="M108" i="55"/>
  <c r="Q108" i="55" s="1"/>
  <c r="M110" i="55"/>
  <c r="Q110" i="55" s="1"/>
  <c r="M111" i="55"/>
  <c r="Q111" i="55" s="1"/>
  <c r="M112" i="55"/>
  <c r="Q112" i="55" s="1"/>
  <c r="P131" i="55"/>
  <c r="R14" i="57" l="1"/>
  <c r="N13" i="57"/>
  <c r="C13" i="57" s="1"/>
  <c r="R31" i="55"/>
  <c r="S31" i="55" s="1"/>
  <c r="R32" i="55"/>
  <c r="S32" i="55" s="1"/>
  <c r="AF15" i="57"/>
  <c r="X14" i="57"/>
  <c r="C14" i="57" s="1"/>
  <c r="Y14" i="57"/>
  <c r="S14" i="57"/>
  <c r="Z14" i="57"/>
  <c r="N14" i="57"/>
  <c r="O57" i="55"/>
  <c r="P57" i="55" s="1"/>
  <c r="Q57" i="55" s="1"/>
  <c r="R57" i="55" s="1"/>
  <c r="R36" i="55"/>
  <c r="S36" i="55" s="1"/>
  <c r="S30" i="55"/>
  <c r="P128" i="55"/>
  <c r="AB15" i="57"/>
  <c r="AC15" i="57" s="1"/>
  <c r="W15" i="57"/>
  <c r="M96" i="55"/>
  <c r="Q96" i="55" s="1"/>
  <c r="Q15" i="57"/>
  <c r="Q34" i="55"/>
  <c r="M15" i="57"/>
  <c r="Q47" i="55"/>
  <c r="R47" i="55" s="1"/>
  <c r="O51" i="55"/>
  <c r="P51" i="55" s="1"/>
  <c r="Q51" i="55" s="1"/>
  <c r="R51" i="55" s="1"/>
  <c r="Q46" i="55"/>
  <c r="R46" i="55" s="1"/>
  <c r="P80" i="55"/>
  <c r="Q80" i="55" s="1"/>
  <c r="P83" i="55"/>
  <c r="Q83" i="55" s="1"/>
  <c r="P73" i="55"/>
  <c r="Q73" i="55" s="1"/>
  <c r="P84" i="55"/>
  <c r="Q84" i="55" s="1"/>
  <c r="P75" i="55"/>
  <c r="Q75" i="55" s="1"/>
  <c r="P82" i="55"/>
  <c r="Q82" i="55" s="1"/>
  <c r="P72" i="55"/>
  <c r="Q72" i="55" s="1"/>
  <c r="R72" i="55" s="1"/>
  <c r="P85" i="55"/>
  <c r="Q85" i="55" s="1"/>
  <c r="R34" i="55"/>
  <c r="S34" i="55" s="1"/>
  <c r="R33" i="55"/>
  <c r="S33" i="55" s="1"/>
  <c r="O36" i="55"/>
  <c r="O32" i="55"/>
  <c r="Q32" i="55" s="1"/>
  <c r="O30" i="55"/>
  <c r="Q30" i="55" s="1"/>
  <c r="Q29" i="55"/>
  <c r="O33" i="55"/>
  <c r="Q33" i="55" s="1"/>
  <c r="G123" i="55"/>
  <c r="P49" i="55"/>
  <c r="Q49" i="55" s="1"/>
  <c r="R49" i="55" s="1"/>
  <c r="M6" i="65"/>
  <c r="H88" i="55"/>
  <c r="H87" i="55"/>
  <c r="D14" i="57" l="1"/>
  <c r="R15" i="57"/>
  <c r="R80" i="55"/>
  <c r="R83" i="55"/>
  <c r="R85" i="55"/>
  <c r="R82" i="55"/>
  <c r="R75" i="55"/>
  <c r="R84" i="55"/>
  <c r="R73" i="55"/>
  <c r="Q123" i="55"/>
  <c r="I123" i="55"/>
  <c r="N123" i="55" s="1"/>
  <c r="O123" i="55" s="1"/>
  <c r="P123" i="55" s="1"/>
  <c r="O14" i="57"/>
  <c r="O13" i="57"/>
  <c r="Q117" i="55"/>
  <c r="Z15" i="57"/>
  <c r="O15" i="57"/>
  <c r="N15" i="57"/>
  <c r="S15" i="57"/>
  <c r="X15" i="57"/>
  <c r="C15" i="57" s="1"/>
  <c r="Y15" i="57"/>
  <c r="AF16" i="57"/>
  <c r="Q36" i="55"/>
  <c r="R38" i="55"/>
  <c r="AB16" i="57"/>
  <c r="AC16" i="57" s="1"/>
  <c r="W16" i="57"/>
  <c r="O31" i="55"/>
  <c r="Q16" i="57"/>
  <c r="M16" i="57"/>
  <c r="S39" i="55"/>
  <c r="B19" i="64" s="1"/>
  <c r="O35" i="55"/>
  <c r="Q35" i="55" s="1"/>
  <c r="P79" i="55"/>
  <c r="Q79" i="55" s="1"/>
  <c r="U15" i="57" s="1"/>
  <c r="N13" i="65"/>
  <c r="N14" i="65"/>
  <c r="O14" i="65" s="1"/>
  <c r="N15" i="65"/>
  <c r="O15" i="65" s="1"/>
  <c r="D15" i="57" l="1"/>
  <c r="R16" i="57"/>
  <c r="R79" i="55"/>
  <c r="U13" i="57"/>
  <c r="Q89" i="55"/>
  <c r="R90" i="55"/>
  <c r="U14" i="57"/>
  <c r="C19" i="64"/>
  <c r="D19" i="64" s="1"/>
  <c r="Q31" i="55"/>
  <c r="O13" i="65"/>
  <c r="B10" i="64"/>
  <c r="C10" i="64" s="1"/>
  <c r="D10" i="64" s="1"/>
  <c r="Q134" i="55"/>
  <c r="Z16" i="57"/>
  <c r="N16" i="57"/>
  <c r="O16" i="57"/>
  <c r="U16" i="57"/>
  <c r="S16" i="57"/>
  <c r="X16" i="57"/>
  <c r="Y16" i="57"/>
  <c r="AF17" i="57"/>
  <c r="AB17" i="57"/>
  <c r="AC17" i="57" s="1"/>
  <c r="W17" i="57"/>
  <c r="Q17" i="57"/>
  <c r="M17" i="57"/>
  <c r="O122" i="55"/>
  <c r="AG17" i="57" l="1"/>
  <c r="C16" i="57"/>
  <c r="AG13" i="57"/>
  <c r="AG14" i="57"/>
  <c r="AG15" i="57"/>
  <c r="AG16" i="57"/>
  <c r="D16" i="57"/>
  <c r="R17" i="57"/>
  <c r="B20" i="64"/>
  <c r="Q39" i="55"/>
  <c r="B8" i="64" s="1"/>
  <c r="C8" i="64" s="1"/>
  <c r="D8" i="64" s="1"/>
  <c r="O16" i="65"/>
  <c r="B24" i="64" s="1"/>
  <c r="B16" i="64"/>
  <c r="C16" i="64" s="1"/>
  <c r="AD16" i="57"/>
  <c r="AD14" i="57"/>
  <c r="AD13" i="57"/>
  <c r="AD17" i="57"/>
  <c r="AD15" i="57"/>
  <c r="Z17" i="57"/>
  <c r="N17" i="57"/>
  <c r="O17" i="57"/>
  <c r="U17" i="57"/>
  <c r="S17" i="57"/>
  <c r="Y17" i="57"/>
  <c r="X17" i="57"/>
  <c r="C17" i="57" s="1"/>
  <c r="AF18" i="57"/>
  <c r="AG18" i="57" s="1"/>
  <c r="P122" i="55"/>
  <c r="AB18" i="57"/>
  <c r="AC18" i="57" s="1"/>
  <c r="W18" i="57"/>
  <c r="Q18" i="57"/>
  <c r="M18" i="57"/>
  <c r="D17" i="57" l="1"/>
  <c r="R18" i="57"/>
  <c r="C24" i="64"/>
  <c r="D24" i="64" s="1"/>
  <c r="C20" i="64"/>
  <c r="D20" i="64" s="1"/>
  <c r="C17" i="64"/>
  <c r="B17" i="64"/>
  <c r="D8" i="66" s="1"/>
  <c r="AD18" i="57"/>
  <c r="P134" i="55"/>
  <c r="B22" i="64" s="1"/>
  <c r="Z18" i="57"/>
  <c r="N18" i="57"/>
  <c r="O18" i="57"/>
  <c r="U18" i="57"/>
  <c r="S18" i="57"/>
  <c r="Y18" i="57"/>
  <c r="X18" i="57"/>
  <c r="AF19" i="57"/>
  <c r="AG19" i="57" s="1"/>
  <c r="B12" i="64"/>
  <c r="D7" i="66" s="1"/>
  <c r="C9" i="64"/>
  <c r="AB19" i="57"/>
  <c r="W19" i="57"/>
  <c r="Q19" i="57"/>
  <c r="M19" i="57"/>
  <c r="O133" i="55"/>
  <c r="D9" i="66" l="1"/>
  <c r="C18" i="57"/>
  <c r="D18" i="57"/>
  <c r="R19" i="57"/>
  <c r="C22" i="64"/>
  <c r="D13" i="66"/>
  <c r="D17" i="64"/>
  <c r="D16" i="64"/>
  <c r="AC19" i="57"/>
  <c r="AD19" i="57"/>
  <c r="O19" i="57"/>
  <c r="N19" i="57"/>
  <c r="Z19" i="57"/>
  <c r="U19" i="57"/>
  <c r="S19" i="57"/>
  <c r="X19" i="57"/>
  <c r="Y19" i="57"/>
  <c r="AF20" i="57"/>
  <c r="AG20" i="57" s="1"/>
  <c r="D9" i="64"/>
  <c r="C12" i="64"/>
  <c r="D12" i="64" s="1"/>
  <c r="AB20" i="57"/>
  <c r="W20" i="57"/>
  <c r="Q20" i="57"/>
  <c r="M20" i="57"/>
  <c r="C19" i="57" l="1"/>
  <c r="D19" i="57"/>
  <c r="R20" i="57"/>
  <c r="AC20" i="57"/>
  <c r="AD20" i="57"/>
  <c r="D22" i="64"/>
  <c r="N20" i="57"/>
  <c r="Z20" i="57"/>
  <c r="O20" i="57"/>
  <c r="S20" i="57"/>
  <c r="U20" i="57"/>
  <c r="X20" i="57"/>
  <c r="C20" i="57" s="1"/>
  <c r="Y20" i="57"/>
  <c r="AF21" i="57"/>
  <c r="AG21" i="57" s="1"/>
  <c r="AB21" i="57"/>
  <c r="W21" i="57"/>
  <c r="Q21" i="57"/>
  <c r="M21" i="57"/>
  <c r="D20" i="57" l="1"/>
  <c r="R21" i="57"/>
  <c r="D10" i="66"/>
  <c r="AC21" i="57"/>
  <c r="AD21" i="57"/>
  <c r="Z21" i="57"/>
  <c r="N21" i="57"/>
  <c r="O21" i="57"/>
  <c r="S21" i="57"/>
  <c r="U21" i="57"/>
  <c r="Y21" i="57"/>
  <c r="X21" i="57"/>
  <c r="AF22" i="57"/>
  <c r="AG22" i="57" s="1"/>
  <c r="AB22" i="57"/>
  <c r="W22" i="57"/>
  <c r="Q22" i="57"/>
  <c r="M22" i="57"/>
  <c r="C21" i="57" l="1"/>
  <c r="D21" i="57"/>
  <c r="R22" i="57"/>
  <c r="AC22" i="57"/>
  <c r="AD22" i="57"/>
  <c r="Z22" i="57"/>
  <c r="N22" i="57"/>
  <c r="O22" i="57"/>
  <c r="U22" i="57"/>
  <c r="S22" i="57"/>
  <c r="X22" i="57"/>
  <c r="C22" i="57" s="1"/>
  <c r="Y22" i="57"/>
  <c r="AF23" i="57"/>
  <c r="AG23" i="57" s="1"/>
  <c r="AB23" i="57"/>
  <c r="W23" i="57"/>
  <c r="Q23" i="57"/>
  <c r="M23" i="57"/>
  <c r="D22" i="57" l="1"/>
  <c r="R23" i="57"/>
  <c r="AC23" i="57"/>
  <c r="AD23" i="57"/>
  <c r="Z23" i="57"/>
  <c r="O23" i="57"/>
  <c r="N23" i="57"/>
  <c r="U23" i="57"/>
  <c r="S23" i="57"/>
  <c r="X23" i="57"/>
  <c r="C23" i="57" s="1"/>
  <c r="Y23" i="57"/>
  <c r="AF24" i="57"/>
  <c r="AG24" i="57" s="1"/>
  <c r="AB24" i="57"/>
  <c r="W24" i="57"/>
  <c r="Q24" i="57"/>
  <c r="M24" i="57"/>
  <c r="D23" i="57" l="1"/>
  <c r="R24" i="57"/>
  <c r="AC24" i="57"/>
  <c r="AD24" i="57"/>
  <c r="Z24" i="57"/>
  <c r="N24" i="57"/>
  <c r="O24" i="57"/>
  <c r="U24" i="57"/>
  <c r="S24" i="57"/>
  <c r="X24" i="57"/>
  <c r="C24" i="57" s="1"/>
  <c r="Y24" i="57"/>
  <c r="AF25" i="57"/>
  <c r="AG25" i="57" s="1"/>
  <c r="AB25" i="57"/>
  <c r="W25" i="57"/>
  <c r="Q25" i="57"/>
  <c r="M25" i="57"/>
  <c r="D24" i="57" l="1"/>
  <c r="R25" i="57"/>
  <c r="AC25" i="57"/>
  <c r="AD25" i="57"/>
  <c r="Z25" i="57"/>
  <c r="N25" i="57"/>
  <c r="O25" i="57"/>
  <c r="S25" i="57"/>
  <c r="U25" i="57"/>
  <c r="Y25" i="57"/>
  <c r="X25" i="57"/>
  <c r="C25" i="57" s="1"/>
  <c r="AF26" i="57"/>
  <c r="AG26" i="57" s="1"/>
  <c r="AB26" i="57"/>
  <c r="W26" i="57"/>
  <c r="Q26" i="57"/>
  <c r="M26" i="57"/>
  <c r="O26" i="57" s="1"/>
  <c r="D25" i="57" l="1"/>
  <c r="T26" i="57"/>
  <c r="R26" i="57"/>
  <c r="AC26" i="57"/>
  <c r="AD26" i="57"/>
  <c r="Z26" i="57"/>
  <c r="N26" i="57"/>
  <c r="U26" i="57"/>
  <c r="S26" i="57"/>
  <c r="Y26" i="57"/>
  <c r="X26" i="57"/>
  <c r="C26" i="57" s="1"/>
  <c r="AF27" i="57"/>
  <c r="AG27" i="57" s="1"/>
  <c r="AB27" i="57"/>
  <c r="W27" i="57"/>
  <c r="Q27" i="57"/>
  <c r="M27" i="57"/>
  <c r="E26" i="57" l="1"/>
  <c r="D26" i="57"/>
  <c r="T27" i="57"/>
  <c r="R27" i="57"/>
  <c r="AC27" i="57"/>
  <c r="AD27" i="57"/>
  <c r="Z27" i="57"/>
  <c r="N27" i="57"/>
  <c r="O27" i="57"/>
  <c r="U27" i="57"/>
  <c r="S27" i="57"/>
  <c r="X27" i="57"/>
  <c r="C27" i="57" s="1"/>
  <c r="Y27" i="57"/>
  <c r="AF28" i="57"/>
  <c r="AG28" i="57" s="1"/>
  <c r="AB28" i="57"/>
  <c r="W28" i="57"/>
  <c r="Q28" i="57"/>
  <c r="M28" i="57"/>
  <c r="F26" i="57" l="1"/>
  <c r="E27" i="57"/>
  <c r="D27" i="57"/>
  <c r="T28" i="57"/>
  <c r="R28" i="57"/>
  <c r="AC28" i="57"/>
  <c r="AD28" i="57"/>
  <c r="N28" i="57"/>
  <c r="Z28" i="57"/>
  <c r="O28" i="57"/>
  <c r="U28" i="57"/>
  <c r="S28" i="57"/>
  <c r="X28" i="57"/>
  <c r="C28" i="57" s="1"/>
  <c r="Y28" i="57"/>
  <c r="AF29" i="57"/>
  <c r="AG29" i="57" s="1"/>
  <c r="AB29" i="57"/>
  <c r="W29" i="57"/>
  <c r="Q29" i="57"/>
  <c r="M29" i="57"/>
  <c r="F27" i="57" l="1"/>
  <c r="E28" i="57"/>
  <c r="D28" i="57"/>
  <c r="T29" i="57"/>
  <c r="R29" i="57"/>
  <c r="AD29" i="57"/>
  <c r="AC29" i="57"/>
  <c r="Z29" i="57"/>
  <c r="N29" i="57"/>
  <c r="O29" i="57"/>
  <c r="S29" i="57"/>
  <c r="U29" i="57"/>
  <c r="Y29" i="57"/>
  <c r="X29" i="57"/>
  <c r="C29" i="57" s="1"/>
  <c r="AF30" i="57"/>
  <c r="AG30" i="57" s="1"/>
  <c r="AB30" i="57"/>
  <c r="W30" i="57"/>
  <c r="Q30" i="57"/>
  <c r="M30" i="57"/>
  <c r="F28" i="57" l="1"/>
  <c r="D29" i="57"/>
  <c r="E29" i="57"/>
  <c r="T30" i="57"/>
  <c r="R30" i="57"/>
  <c r="AC30" i="57"/>
  <c r="AD30" i="57"/>
  <c r="Z30" i="57"/>
  <c r="N30" i="57"/>
  <c r="O30" i="57"/>
  <c r="U30" i="57"/>
  <c r="S30" i="57"/>
  <c r="X30" i="57"/>
  <c r="C30" i="57" s="1"/>
  <c r="Y30" i="57"/>
  <c r="AF31" i="57"/>
  <c r="AG31" i="57" s="1"/>
  <c r="AB31" i="57"/>
  <c r="W31" i="57"/>
  <c r="Q31" i="57"/>
  <c r="M31" i="57"/>
  <c r="F29" i="57" l="1"/>
  <c r="E30" i="57"/>
  <c r="D30" i="57"/>
  <c r="T31" i="57"/>
  <c r="R31" i="57"/>
  <c r="AD31" i="57"/>
  <c r="AC31" i="57"/>
  <c r="Z31" i="57"/>
  <c r="O31" i="57"/>
  <c r="N31" i="57"/>
  <c r="U31" i="57"/>
  <c r="S31" i="57"/>
  <c r="X31" i="57"/>
  <c r="C31" i="57" s="1"/>
  <c r="Y31" i="57"/>
  <c r="AF32" i="57"/>
  <c r="AG32" i="57" s="1"/>
  <c r="AB32" i="57"/>
  <c r="W32" i="57"/>
  <c r="Q32" i="57"/>
  <c r="M32" i="57"/>
  <c r="F30" i="57" l="1"/>
  <c r="E31" i="57"/>
  <c r="D31" i="57"/>
  <c r="T32" i="57"/>
  <c r="R32" i="57"/>
  <c r="AC32" i="57"/>
  <c r="AD32" i="57"/>
  <c r="AI31" i="57"/>
  <c r="Z32" i="57"/>
  <c r="N32" i="57"/>
  <c r="O32" i="57"/>
  <c r="S32" i="57"/>
  <c r="U32" i="57"/>
  <c r="X32" i="57"/>
  <c r="C32" i="57" s="1"/>
  <c r="Y32" i="57"/>
  <c r="AF33" i="57"/>
  <c r="AG33" i="57" s="1"/>
  <c r="AB33" i="57"/>
  <c r="W33" i="57"/>
  <c r="Q33" i="57"/>
  <c r="M33" i="57"/>
  <c r="F31" i="57" l="1"/>
  <c r="E32" i="57"/>
  <c r="D32" i="57"/>
  <c r="T33" i="57"/>
  <c r="R33" i="57"/>
  <c r="AD33" i="57"/>
  <c r="AC33" i="57"/>
  <c r="AI32" i="57"/>
  <c r="Z33" i="57"/>
  <c r="N33" i="57"/>
  <c r="O33" i="57"/>
  <c r="U33" i="57"/>
  <c r="S33" i="57"/>
  <c r="Y33" i="57"/>
  <c r="X33" i="57"/>
  <c r="C33" i="57" s="1"/>
  <c r="AF34" i="57"/>
  <c r="AG34" i="57" s="1"/>
  <c r="AB34" i="57"/>
  <c r="W34" i="57"/>
  <c r="Q34" i="57"/>
  <c r="M34" i="57"/>
  <c r="F32" i="57" l="1"/>
  <c r="E33" i="57"/>
  <c r="D33" i="57"/>
  <c r="T34" i="57"/>
  <c r="R34" i="57"/>
  <c r="AC34" i="57"/>
  <c r="AD34" i="57"/>
  <c r="AI33" i="57"/>
  <c r="Z34" i="57"/>
  <c r="N34" i="57"/>
  <c r="O34" i="57"/>
  <c r="U34" i="57"/>
  <c r="S34" i="57"/>
  <c r="Y34" i="57"/>
  <c r="X34" i="57"/>
  <c r="C34" i="57" s="1"/>
  <c r="AF35" i="57"/>
  <c r="AG35" i="57" s="1"/>
  <c r="AB35" i="57"/>
  <c r="W35" i="57"/>
  <c r="Q35" i="57"/>
  <c r="M35" i="57"/>
  <c r="F33" i="57" l="1"/>
  <c r="E34" i="57"/>
  <c r="D34" i="57"/>
  <c r="T35" i="57"/>
  <c r="R35" i="57"/>
  <c r="AC35" i="57"/>
  <c r="AD35" i="57"/>
  <c r="AI34" i="57"/>
  <c r="Z35" i="57"/>
  <c r="N35" i="57"/>
  <c r="O35" i="57"/>
  <c r="U35" i="57"/>
  <c r="S35" i="57"/>
  <c r="X35" i="57"/>
  <c r="C35" i="57" s="1"/>
  <c r="Y35" i="57"/>
  <c r="AF36" i="57"/>
  <c r="AG36" i="57" s="1"/>
  <c r="AB36" i="57"/>
  <c r="W36" i="57"/>
  <c r="Q36" i="57"/>
  <c r="M36" i="57"/>
  <c r="F34" i="57" l="1"/>
  <c r="E35" i="57"/>
  <c r="F35" i="57" s="1"/>
  <c r="D35" i="57"/>
  <c r="T36" i="57"/>
  <c r="R36" i="57"/>
  <c r="AD36" i="57"/>
  <c r="AC36" i="57"/>
  <c r="AI35" i="57"/>
  <c r="N36" i="57"/>
  <c r="Z36" i="57"/>
  <c r="O36" i="57"/>
  <c r="S36" i="57"/>
  <c r="U36" i="57"/>
  <c r="X36" i="57"/>
  <c r="C36" i="57" s="1"/>
  <c r="Y36" i="57"/>
  <c r="AF37" i="57"/>
  <c r="AG37" i="57" s="1"/>
  <c r="AB37" i="57"/>
  <c r="W37" i="57"/>
  <c r="Q37" i="57"/>
  <c r="M37" i="57"/>
  <c r="E36" i="57" l="1"/>
  <c r="D36" i="57"/>
  <c r="T37" i="57"/>
  <c r="R37" i="57"/>
  <c r="AD37" i="57"/>
  <c r="AC37" i="57"/>
  <c r="AI36" i="57"/>
  <c r="Z37" i="57"/>
  <c r="N37" i="57"/>
  <c r="O37" i="57"/>
  <c r="S37" i="57"/>
  <c r="U37" i="57"/>
  <c r="Y37" i="57"/>
  <c r="X37" i="57"/>
  <c r="C37" i="57" s="1"/>
  <c r="AF38" i="57"/>
  <c r="AG38" i="57" s="1"/>
  <c r="AB38" i="57"/>
  <c r="W38" i="57"/>
  <c r="Q38" i="57"/>
  <c r="M38" i="57"/>
  <c r="F36" i="57" l="1"/>
  <c r="E37" i="57"/>
  <c r="D37" i="57"/>
  <c r="T38" i="57"/>
  <c r="R38" i="57"/>
  <c r="AC38" i="57"/>
  <c r="AD38" i="57"/>
  <c r="AI37" i="57"/>
  <c r="Z38" i="57"/>
  <c r="N38" i="57"/>
  <c r="O38" i="57"/>
  <c r="U38" i="57"/>
  <c r="S38" i="57"/>
  <c r="X38" i="57"/>
  <c r="C38" i="57" s="1"/>
  <c r="Y38" i="57"/>
  <c r="AF39" i="57"/>
  <c r="AG39" i="57" s="1"/>
  <c r="AB39" i="57"/>
  <c r="W39" i="57"/>
  <c r="Q39" i="57"/>
  <c r="M39" i="57"/>
  <c r="F37" i="57" l="1"/>
  <c r="D38" i="57"/>
  <c r="E38" i="57"/>
  <c r="T39" i="57"/>
  <c r="R39" i="57"/>
  <c r="AC39" i="57"/>
  <c r="AD39" i="57"/>
  <c r="AI38" i="57"/>
  <c r="Z39" i="57"/>
  <c r="O39" i="57"/>
  <c r="N39" i="57"/>
  <c r="U39" i="57"/>
  <c r="S39" i="57"/>
  <c r="X39" i="57"/>
  <c r="C39" i="57" s="1"/>
  <c r="Y39" i="57"/>
  <c r="AF40" i="57"/>
  <c r="AG40" i="57" s="1"/>
  <c r="AB40" i="57"/>
  <c r="W40" i="57"/>
  <c r="Q40" i="57"/>
  <c r="M40" i="57"/>
  <c r="F38" i="57" l="1"/>
  <c r="D39" i="57"/>
  <c r="E39" i="57"/>
  <c r="T40" i="57"/>
  <c r="R40" i="57"/>
  <c r="AC40" i="57"/>
  <c r="AD40" i="57"/>
  <c r="AI39" i="57"/>
  <c r="Z40" i="57"/>
  <c r="N40" i="57"/>
  <c r="O40" i="57"/>
  <c r="U40" i="57"/>
  <c r="S40" i="57"/>
  <c r="X40" i="57"/>
  <c r="C40" i="57" s="1"/>
  <c r="Y40" i="57"/>
  <c r="AF41" i="57"/>
  <c r="AG41" i="57" s="1"/>
  <c r="AB41" i="57"/>
  <c r="W41" i="57"/>
  <c r="Q41" i="57"/>
  <c r="M41" i="57"/>
  <c r="F39" i="57" l="1"/>
  <c r="E40" i="57"/>
  <c r="D40" i="57"/>
  <c r="T41" i="57"/>
  <c r="R41" i="57"/>
  <c r="AD41" i="57"/>
  <c r="AC41" i="57"/>
  <c r="AI40" i="57"/>
  <c r="Z41" i="57"/>
  <c r="N41" i="57"/>
  <c r="O41" i="57"/>
  <c r="S41" i="57"/>
  <c r="U41" i="57"/>
  <c r="Y41" i="57"/>
  <c r="X41" i="57"/>
  <c r="C41" i="57" s="1"/>
  <c r="AF42" i="57"/>
  <c r="AG42" i="57" s="1"/>
  <c r="AB42" i="57"/>
  <c r="W42" i="57"/>
  <c r="Q42" i="57"/>
  <c r="M42" i="57"/>
  <c r="F40" i="57" l="1"/>
  <c r="E41" i="57"/>
  <c r="D41" i="57"/>
  <c r="T42" i="57"/>
  <c r="R42" i="57"/>
  <c r="AC42" i="57"/>
  <c r="AD42" i="57"/>
  <c r="AI41" i="57"/>
  <c r="Z42" i="57"/>
  <c r="N42" i="57"/>
  <c r="O42" i="57"/>
  <c r="U42" i="57"/>
  <c r="S42" i="57"/>
  <c r="Y42" i="57"/>
  <c r="X42" i="57"/>
  <c r="C42" i="57" s="1"/>
  <c r="AF43" i="57"/>
  <c r="AG43" i="57" s="1"/>
  <c r="AB43" i="57"/>
  <c r="W43" i="57"/>
  <c r="Q43" i="57"/>
  <c r="M43" i="57"/>
  <c r="F41" i="57" l="1"/>
  <c r="E42" i="57"/>
  <c r="D42" i="57"/>
  <c r="T43" i="57"/>
  <c r="R43" i="57"/>
  <c r="AC43" i="57"/>
  <c r="AD43" i="57"/>
  <c r="AI42" i="57"/>
  <c r="Z43" i="57"/>
  <c r="O43" i="57"/>
  <c r="N43" i="57"/>
  <c r="U43" i="57"/>
  <c r="S43" i="57"/>
  <c r="X43" i="57"/>
  <c r="C43" i="57" s="1"/>
  <c r="Y43" i="57"/>
  <c r="AF44" i="57"/>
  <c r="AG44" i="57" s="1"/>
  <c r="AB44" i="57"/>
  <c r="W44" i="57"/>
  <c r="Q44" i="57"/>
  <c r="M44" i="57"/>
  <c r="F42" i="57" l="1"/>
  <c r="D43" i="57"/>
  <c r="E43" i="57"/>
  <c r="T44" i="57"/>
  <c r="R44" i="57"/>
  <c r="AC44" i="57"/>
  <c r="AD44" i="57"/>
  <c r="AI43" i="57"/>
  <c r="N44" i="57"/>
  <c r="Z44" i="57"/>
  <c r="O44" i="57"/>
  <c r="U44" i="57"/>
  <c r="S44" i="57"/>
  <c r="X44" i="57"/>
  <c r="C44" i="57" s="1"/>
  <c r="Y44" i="57"/>
  <c r="AF45" i="57"/>
  <c r="AG45" i="57" s="1"/>
  <c r="AB45" i="57"/>
  <c r="W45" i="57"/>
  <c r="Q45" i="57"/>
  <c r="M45" i="57"/>
  <c r="F43" i="57" l="1"/>
  <c r="E44" i="57"/>
  <c r="D44" i="57"/>
  <c r="T45" i="57"/>
  <c r="R45" i="57"/>
  <c r="AD45" i="57"/>
  <c r="AC45" i="57"/>
  <c r="AI44" i="57"/>
  <c r="Z45" i="57"/>
  <c r="N45" i="57"/>
  <c r="O45" i="57"/>
  <c r="S45" i="57"/>
  <c r="U45" i="57"/>
  <c r="Y45" i="57"/>
  <c r="X45" i="57"/>
  <c r="C45" i="57" s="1"/>
  <c r="AF46" i="57"/>
  <c r="AG46" i="57" s="1"/>
  <c r="AB46" i="57"/>
  <c r="W46" i="57"/>
  <c r="Q46" i="57"/>
  <c r="M46" i="57"/>
  <c r="F44" i="57" l="1"/>
  <c r="E45" i="57"/>
  <c r="D45" i="57"/>
  <c r="T46" i="57"/>
  <c r="R46" i="57"/>
  <c r="AC46" i="57"/>
  <c r="AD46" i="57"/>
  <c r="AI45" i="57"/>
  <c r="Z46" i="57"/>
  <c r="N46" i="57"/>
  <c r="O46" i="57"/>
  <c r="U46" i="57"/>
  <c r="S46" i="57"/>
  <c r="X46" i="57"/>
  <c r="C46" i="57" s="1"/>
  <c r="Y46" i="57"/>
  <c r="AF47" i="57"/>
  <c r="AG47" i="57" s="1"/>
  <c r="AB47" i="57"/>
  <c r="W47" i="57"/>
  <c r="Q47" i="57"/>
  <c r="M47" i="57"/>
  <c r="F45" i="57" l="1"/>
  <c r="E46" i="57"/>
  <c r="D46" i="57"/>
  <c r="R47" i="57"/>
  <c r="T47" i="57"/>
  <c r="AC47" i="57"/>
  <c r="AD47" i="57"/>
  <c r="AI46" i="57"/>
  <c r="Z47" i="57"/>
  <c r="O47" i="57"/>
  <c r="N47" i="57"/>
  <c r="S47" i="57"/>
  <c r="U47" i="57"/>
  <c r="X47" i="57"/>
  <c r="C47" i="57" s="1"/>
  <c r="Y47" i="57"/>
  <c r="AF48" i="57"/>
  <c r="AG48" i="57" s="1"/>
  <c r="AB48" i="57"/>
  <c r="W48" i="57"/>
  <c r="Q48" i="57"/>
  <c r="M48" i="57"/>
  <c r="F46" i="57" l="1"/>
  <c r="E47" i="57"/>
  <c r="D47" i="57"/>
  <c r="R48" i="57"/>
  <c r="T48" i="57"/>
  <c r="AC48" i="57"/>
  <c r="AD48" i="57"/>
  <c r="AI47" i="57"/>
  <c r="Z48" i="57"/>
  <c r="N48" i="57"/>
  <c r="O48" i="57"/>
  <c r="U48" i="57"/>
  <c r="S48" i="57"/>
  <c r="X48" i="57"/>
  <c r="C48" i="57" s="1"/>
  <c r="Y48" i="57"/>
  <c r="AF49" i="57"/>
  <c r="AG49" i="57" s="1"/>
  <c r="AB49" i="57"/>
  <c r="W49" i="57"/>
  <c r="Q49" i="57"/>
  <c r="M49" i="57"/>
  <c r="F47" i="57" l="1"/>
  <c r="D48" i="57"/>
  <c r="E48" i="57"/>
  <c r="F48" i="57" s="1"/>
  <c r="R49" i="57"/>
  <c r="T49" i="57"/>
  <c r="AD49" i="57"/>
  <c r="AC49" i="57"/>
  <c r="AI48" i="57"/>
  <c r="Z49" i="57"/>
  <c r="N49" i="57"/>
  <c r="O49" i="57"/>
  <c r="U49" i="57"/>
  <c r="S49" i="57"/>
  <c r="Y49" i="57"/>
  <c r="X49" i="57"/>
  <c r="AF50" i="57"/>
  <c r="AG50" i="57" s="1"/>
  <c r="AB50" i="57"/>
  <c r="W50" i="57"/>
  <c r="Q50" i="57"/>
  <c r="M50" i="57"/>
  <c r="E49" i="57" l="1"/>
  <c r="C49" i="57"/>
  <c r="D49" i="57"/>
  <c r="R50" i="57"/>
  <c r="T50" i="57"/>
  <c r="AC50" i="57"/>
  <c r="AD50" i="57"/>
  <c r="AI49" i="57"/>
  <c r="Z50" i="57"/>
  <c r="N50" i="57"/>
  <c r="O50" i="57"/>
  <c r="U50" i="57"/>
  <c r="S50" i="57"/>
  <c r="Y50" i="57"/>
  <c r="X50" i="57"/>
  <c r="AF51" i="57"/>
  <c r="AG51" i="57" s="1"/>
  <c r="AB51" i="57"/>
  <c r="W51" i="57"/>
  <c r="Q51" i="57"/>
  <c r="M51" i="57"/>
  <c r="D50" i="57" l="1"/>
  <c r="E50" i="57"/>
  <c r="C50" i="57"/>
  <c r="F49" i="57"/>
  <c r="R51" i="57"/>
  <c r="T51" i="57"/>
  <c r="AC51" i="57"/>
  <c r="AD51" i="57"/>
  <c r="AI50" i="57"/>
  <c r="N51" i="57"/>
  <c r="O51" i="57"/>
  <c r="Z51" i="57"/>
  <c r="U51" i="57"/>
  <c r="S51" i="57"/>
  <c r="X51" i="57"/>
  <c r="Y51" i="57"/>
  <c r="AF52" i="57"/>
  <c r="AG52" i="57" s="1"/>
  <c r="AB52" i="57"/>
  <c r="W52" i="57"/>
  <c r="Q52" i="57"/>
  <c r="M52" i="57"/>
  <c r="F50" i="57" l="1"/>
  <c r="D51" i="57"/>
  <c r="E51" i="57"/>
  <c r="C51" i="57"/>
  <c r="R52" i="57"/>
  <c r="T52" i="57"/>
  <c r="AD52" i="57"/>
  <c r="AC52" i="57"/>
  <c r="AI51" i="57"/>
  <c r="N52" i="57"/>
  <c r="Z52" i="57"/>
  <c r="O52" i="57"/>
  <c r="S52" i="57"/>
  <c r="U52" i="57"/>
  <c r="X52" i="57"/>
  <c r="Y52" i="57"/>
  <c r="AF53" i="57"/>
  <c r="AG53" i="57" s="1"/>
  <c r="AB53" i="57"/>
  <c r="W53" i="57"/>
  <c r="Q53" i="57"/>
  <c r="M53" i="57"/>
  <c r="E52" i="57" l="1"/>
  <c r="F51" i="57"/>
  <c r="D52" i="57"/>
  <c r="C52" i="57"/>
  <c r="F52" i="57" s="1"/>
  <c r="R53" i="57"/>
  <c r="T53" i="57"/>
  <c r="AD53" i="57"/>
  <c r="AC53" i="57"/>
  <c r="AI52" i="57"/>
  <c r="Z53" i="57"/>
  <c r="N53" i="57"/>
  <c r="O53" i="57"/>
  <c r="S53" i="57"/>
  <c r="U53" i="57"/>
  <c r="Y53" i="57"/>
  <c r="X53" i="57"/>
  <c r="AF54" i="57"/>
  <c r="AG54" i="57" s="1"/>
  <c r="AB54" i="57"/>
  <c r="W54" i="57"/>
  <c r="Q54" i="57"/>
  <c r="M54" i="57"/>
  <c r="E53" i="57" l="1"/>
  <c r="C53" i="57"/>
  <c r="D53" i="57"/>
  <c r="R54" i="57"/>
  <c r="T54" i="57"/>
  <c r="AC54" i="57"/>
  <c r="AD54" i="57"/>
  <c r="AI53" i="57"/>
  <c r="Z54" i="57"/>
  <c r="N54" i="57"/>
  <c r="O54" i="57"/>
  <c r="U54" i="57"/>
  <c r="S54" i="57"/>
  <c r="X54" i="57"/>
  <c r="Y54" i="57"/>
  <c r="AF55" i="57"/>
  <c r="AG55" i="57" s="1"/>
  <c r="AB55" i="57"/>
  <c r="W55" i="57"/>
  <c r="Q55" i="57"/>
  <c r="M55" i="57"/>
  <c r="D54" i="57" l="1"/>
  <c r="C54" i="57"/>
  <c r="E54" i="57"/>
  <c r="F54" i="57" s="1"/>
  <c r="F53" i="57"/>
  <c r="R55" i="57"/>
  <c r="T55" i="57"/>
  <c r="AD55" i="57"/>
  <c r="AC55" i="57"/>
  <c r="AI54" i="57"/>
  <c r="Z55" i="57"/>
  <c r="O55" i="57"/>
  <c r="N55" i="57"/>
  <c r="U55" i="57"/>
  <c r="S55" i="57"/>
  <c r="X55" i="57"/>
  <c r="Y55" i="57"/>
  <c r="AF56" i="57"/>
  <c r="AG56" i="57" s="1"/>
  <c r="AB56" i="57"/>
  <c r="W56" i="57"/>
  <c r="Q56" i="57"/>
  <c r="M56" i="57"/>
  <c r="C55" i="57" l="1"/>
  <c r="E55" i="57"/>
  <c r="D55" i="57"/>
  <c r="R56" i="57"/>
  <c r="T56" i="57"/>
  <c r="AD56" i="57"/>
  <c r="AC56" i="57"/>
  <c r="AI55" i="57"/>
  <c r="Z56" i="57"/>
  <c r="N56" i="57"/>
  <c r="O56" i="57"/>
  <c r="U56" i="57"/>
  <c r="S56" i="57"/>
  <c r="X56" i="57"/>
  <c r="Y56" i="57"/>
  <c r="AF57" i="57"/>
  <c r="AG57" i="57" s="1"/>
  <c r="AB57" i="57"/>
  <c r="W57" i="57"/>
  <c r="Q57" i="57"/>
  <c r="M57" i="57"/>
  <c r="D56" i="57" l="1"/>
  <c r="C56" i="57"/>
  <c r="E56" i="57"/>
  <c r="F55" i="57"/>
  <c r="R57" i="57"/>
  <c r="T57" i="57"/>
  <c r="AD57" i="57"/>
  <c r="AC57" i="57"/>
  <c r="AI56" i="57"/>
  <c r="Z57" i="57"/>
  <c r="N57" i="57"/>
  <c r="O57" i="57"/>
  <c r="S57" i="57"/>
  <c r="U57" i="57"/>
  <c r="Y57" i="57"/>
  <c r="X57" i="57"/>
  <c r="AF58" i="57"/>
  <c r="AG58" i="57" s="1"/>
  <c r="AB58" i="57"/>
  <c r="W58" i="57"/>
  <c r="Q58" i="57"/>
  <c r="M58" i="57"/>
  <c r="F56" i="57" l="1"/>
  <c r="D57" i="57"/>
  <c r="C57" i="57"/>
  <c r="E57" i="57"/>
  <c r="R58" i="57"/>
  <c r="T58" i="57"/>
  <c r="AC58" i="57"/>
  <c r="AD58" i="57"/>
  <c r="AI57" i="57"/>
  <c r="Z58" i="57"/>
  <c r="N58" i="57"/>
  <c r="O58" i="57"/>
  <c r="U58" i="57"/>
  <c r="S58" i="57"/>
  <c r="Y58" i="57"/>
  <c r="X58" i="57"/>
  <c r="AF59" i="57"/>
  <c r="AG59" i="57" s="1"/>
  <c r="AB59" i="57"/>
  <c r="W59" i="57"/>
  <c r="Q59" i="57"/>
  <c r="M59" i="57"/>
  <c r="D58" i="57" l="1"/>
  <c r="F57" i="57"/>
  <c r="E58" i="57"/>
  <c r="C58" i="57"/>
  <c r="R59" i="57"/>
  <c r="T59" i="57"/>
  <c r="AC59" i="57"/>
  <c r="AD59" i="57"/>
  <c r="AI58" i="57"/>
  <c r="Z59" i="57"/>
  <c r="O59" i="57"/>
  <c r="N59" i="57"/>
  <c r="U59" i="57"/>
  <c r="S59" i="57"/>
  <c r="X59" i="57"/>
  <c r="Y59" i="57"/>
  <c r="AF60" i="57"/>
  <c r="AG60" i="57" s="1"/>
  <c r="AB60" i="57"/>
  <c r="W60" i="57"/>
  <c r="Q60" i="57"/>
  <c r="M60" i="57"/>
  <c r="F58" i="57" l="1"/>
  <c r="D59" i="57"/>
  <c r="E59" i="57"/>
  <c r="C59" i="57"/>
  <c r="R60" i="57"/>
  <c r="T60" i="57"/>
  <c r="AD60" i="57"/>
  <c r="AC60" i="57"/>
  <c r="AI59" i="57"/>
  <c r="N60" i="57"/>
  <c r="Z60" i="57"/>
  <c r="O60" i="57"/>
  <c r="U60" i="57"/>
  <c r="S60" i="57"/>
  <c r="X60" i="57"/>
  <c r="Y60" i="57"/>
  <c r="AF61" i="57"/>
  <c r="AG61" i="57" s="1"/>
  <c r="AB61" i="57"/>
  <c r="W61" i="57"/>
  <c r="Q61" i="57"/>
  <c r="M61" i="57"/>
  <c r="F59" i="57" l="1"/>
  <c r="E60" i="57"/>
  <c r="D60" i="57"/>
  <c r="C60" i="57"/>
  <c r="R61" i="57"/>
  <c r="T61" i="57"/>
  <c r="AC61" i="57"/>
  <c r="AD61" i="57"/>
  <c r="AI60" i="57"/>
  <c r="Z61" i="57"/>
  <c r="N61" i="57"/>
  <c r="O61" i="57"/>
  <c r="S61" i="57"/>
  <c r="U61" i="57"/>
  <c r="Y61" i="57"/>
  <c r="X61" i="57"/>
  <c r="AF62" i="57"/>
  <c r="AG62" i="57" s="1"/>
  <c r="AB62" i="57"/>
  <c r="W62" i="57"/>
  <c r="Q62" i="57"/>
  <c r="M62" i="57"/>
  <c r="E61" i="57" l="1"/>
  <c r="C61" i="57"/>
  <c r="F60" i="57"/>
  <c r="D61" i="57"/>
  <c r="R62" i="57"/>
  <c r="T62" i="57"/>
  <c r="AD62" i="57"/>
  <c r="AC62" i="57"/>
  <c r="AI61" i="57"/>
  <c r="Z62" i="57"/>
  <c r="N62" i="57"/>
  <c r="O62" i="57"/>
  <c r="U62" i="57"/>
  <c r="S62" i="57"/>
  <c r="X62" i="57"/>
  <c r="Y62" i="57"/>
  <c r="AF63" i="57"/>
  <c r="AG63" i="57" s="1"/>
  <c r="AB63" i="57"/>
  <c r="W63" i="57"/>
  <c r="Q63" i="57"/>
  <c r="M63" i="57"/>
  <c r="D62" i="57" l="1"/>
  <c r="C62" i="57"/>
  <c r="F61" i="57"/>
  <c r="E62" i="57"/>
  <c r="R63" i="57"/>
  <c r="T63" i="57"/>
  <c r="AC63" i="57"/>
  <c r="AD63" i="57"/>
  <c r="AI62" i="57"/>
  <c r="Z63" i="57"/>
  <c r="O63" i="57"/>
  <c r="N63" i="57"/>
  <c r="U63" i="57"/>
  <c r="S63" i="57"/>
  <c r="X63" i="57"/>
  <c r="Y63" i="57"/>
  <c r="AF64" i="57"/>
  <c r="AG64" i="57" s="1"/>
  <c r="AB64" i="57"/>
  <c r="W64" i="57"/>
  <c r="Q64" i="57"/>
  <c r="M64" i="57"/>
  <c r="D63" i="57" l="1"/>
  <c r="E63" i="57"/>
  <c r="C63" i="57"/>
  <c r="F62" i="57"/>
  <c r="R64" i="57"/>
  <c r="T64" i="57"/>
  <c r="AD64" i="57"/>
  <c r="AC64" i="57"/>
  <c r="AI63" i="57"/>
  <c r="Z64" i="57"/>
  <c r="N64" i="57"/>
  <c r="O64" i="57"/>
  <c r="S64" i="57"/>
  <c r="U64" i="57"/>
  <c r="X64" i="57"/>
  <c r="Y64" i="57"/>
  <c r="AF65" i="57"/>
  <c r="AG65" i="57" s="1"/>
  <c r="AB65" i="57"/>
  <c r="W65" i="57"/>
  <c r="Q65" i="57"/>
  <c r="M65" i="57"/>
  <c r="F63" i="57" l="1"/>
  <c r="E64" i="57"/>
  <c r="D64" i="57"/>
  <c r="C64" i="57"/>
  <c r="R65" i="57"/>
  <c r="T65" i="57"/>
  <c r="AD65" i="57"/>
  <c r="AC65" i="57"/>
  <c r="AI64" i="57"/>
  <c r="Z65" i="57"/>
  <c r="N65" i="57"/>
  <c r="O65" i="57"/>
  <c r="U65" i="57"/>
  <c r="S65" i="57"/>
  <c r="Y65" i="57"/>
  <c r="X65" i="57"/>
  <c r="AF66" i="57"/>
  <c r="AG66" i="57" s="1"/>
  <c r="AB66" i="57"/>
  <c r="W66" i="57"/>
  <c r="Q66" i="57"/>
  <c r="M66" i="57"/>
  <c r="E65" i="57" l="1"/>
  <c r="C65" i="57"/>
  <c r="F64" i="57"/>
  <c r="D65" i="57"/>
  <c r="R66" i="57"/>
  <c r="T66" i="57"/>
  <c r="AC66" i="57"/>
  <c r="AD66" i="57"/>
  <c r="AI65" i="57"/>
  <c r="Z66" i="57"/>
  <c r="N66" i="57"/>
  <c r="O66" i="57"/>
  <c r="U66" i="57"/>
  <c r="S66" i="57"/>
  <c r="Y66" i="57"/>
  <c r="X66" i="57"/>
  <c r="AF67" i="57"/>
  <c r="AG67" i="57" s="1"/>
  <c r="AB67" i="57"/>
  <c r="W67" i="57"/>
  <c r="Q67" i="57"/>
  <c r="M67" i="57"/>
  <c r="D66" i="57" l="1"/>
  <c r="C66" i="57"/>
  <c r="F65" i="57"/>
  <c r="E66" i="57"/>
  <c r="R67" i="57"/>
  <c r="T67" i="57"/>
  <c r="AC67" i="57"/>
  <c r="AD67" i="57"/>
  <c r="AI66" i="57"/>
  <c r="Z67" i="57"/>
  <c r="N67" i="57"/>
  <c r="O67" i="57"/>
  <c r="U67" i="57"/>
  <c r="S67" i="57"/>
  <c r="X67" i="57"/>
  <c r="Y67" i="57"/>
  <c r="AF68" i="57"/>
  <c r="AG68" i="57" s="1"/>
  <c r="AB68" i="57"/>
  <c r="W68" i="57"/>
  <c r="Q68" i="57"/>
  <c r="M68" i="57"/>
  <c r="D67" i="57" l="1"/>
  <c r="E67" i="57"/>
  <c r="C67" i="57"/>
  <c r="F66" i="57"/>
  <c r="R68" i="57"/>
  <c r="T68" i="57"/>
  <c r="AC68" i="57"/>
  <c r="AD68" i="57"/>
  <c r="AI67" i="57"/>
  <c r="N68" i="57"/>
  <c r="Z68" i="57"/>
  <c r="O68" i="57"/>
  <c r="S68" i="57"/>
  <c r="U68" i="57"/>
  <c r="X68" i="57"/>
  <c r="Y68" i="57"/>
  <c r="AF69" i="57"/>
  <c r="AG69" i="57" s="1"/>
  <c r="AB69" i="57"/>
  <c r="W69" i="57"/>
  <c r="Q69" i="57"/>
  <c r="M69" i="57"/>
  <c r="F67" i="57" l="1"/>
  <c r="D68" i="57"/>
  <c r="E68" i="57"/>
  <c r="C68" i="57"/>
  <c r="R69" i="57"/>
  <c r="T69" i="57"/>
  <c r="AD69" i="57"/>
  <c r="AC69" i="57"/>
  <c r="AI68" i="57"/>
  <c r="Z69" i="57"/>
  <c r="N69" i="57"/>
  <c r="O69" i="57"/>
  <c r="S69" i="57"/>
  <c r="U69" i="57"/>
  <c r="Y69" i="57"/>
  <c r="X69" i="57"/>
  <c r="AF70" i="57"/>
  <c r="AG70" i="57" s="1"/>
  <c r="AB70" i="57"/>
  <c r="W70" i="57"/>
  <c r="Q70" i="57"/>
  <c r="M70" i="57"/>
  <c r="E69" i="57" l="1"/>
  <c r="C69" i="57"/>
  <c r="D69" i="57"/>
  <c r="F68" i="57"/>
  <c r="R70" i="57"/>
  <c r="T70" i="57"/>
  <c r="AC70" i="57"/>
  <c r="AD70" i="57"/>
  <c r="AI69" i="57"/>
  <c r="Z70" i="57"/>
  <c r="N70" i="57"/>
  <c r="O70" i="57"/>
  <c r="U70" i="57"/>
  <c r="S70" i="57"/>
  <c r="X70" i="57"/>
  <c r="Y70" i="57"/>
  <c r="AF71" i="57"/>
  <c r="AG71" i="57" s="1"/>
  <c r="AB71" i="57"/>
  <c r="W71" i="57"/>
  <c r="Q71" i="57"/>
  <c r="M71" i="57"/>
  <c r="E70" i="57" l="1"/>
  <c r="C70" i="57"/>
  <c r="D70" i="57"/>
  <c r="F69" i="57"/>
  <c r="R71" i="57"/>
  <c r="T71" i="57"/>
  <c r="AC71" i="57"/>
  <c r="AD71" i="57"/>
  <c r="AI70" i="57"/>
  <c r="Z71" i="57"/>
  <c r="O71" i="57"/>
  <c r="N71" i="57"/>
  <c r="U71" i="57"/>
  <c r="S71" i="57"/>
  <c r="X71" i="57"/>
  <c r="Y71" i="57"/>
  <c r="AF72" i="57"/>
  <c r="AG72" i="57" s="1"/>
  <c r="AB72" i="57"/>
  <c r="W72" i="57"/>
  <c r="Q72" i="57"/>
  <c r="M72" i="57"/>
  <c r="F70" i="57" l="1"/>
  <c r="C71" i="57"/>
  <c r="E71" i="57"/>
  <c r="D71" i="57"/>
  <c r="R72" i="57"/>
  <c r="T72" i="57"/>
  <c r="AD72" i="57"/>
  <c r="AC72" i="57"/>
  <c r="AI71" i="57"/>
  <c r="Z72" i="57"/>
  <c r="N72" i="57"/>
  <c r="O72" i="57"/>
  <c r="U72" i="57"/>
  <c r="S72" i="57"/>
  <c r="X72" i="57"/>
  <c r="Y72" i="57"/>
  <c r="AF73" i="57"/>
  <c r="AG73" i="57" s="1"/>
  <c r="AB73" i="57"/>
  <c r="W73" i="57"/>
  <c r="Q73" i="57"/>
  <c r="M73" i="57"/>
  <c r="D72" i="57" l="1"/>
  <c r="E72" i="57"/>
  <c r="C72" i="57"/>
  <c r="F71" i="57"/>
  <c r="R73" i="57"/>
  <c r="T73" i="57"/>
  <c r="AD73" i="57"/>
  <c r="AC73" i="57"/>
  <c r="AI72" i="57"/>
  <c r="Z73" i="57"/>
  <c r="O73" i="57"/>
  <c r="N73" i="57"/>
  <c r="S73" i="57"/>
  <c r="U73" i="57"/>
  <c r="Y73" i="57"/>
  <c r="X73" i="57"/>
  <c r="AF74" i="57"/>
  <c r="AG74" i="57" s="1"/>
  <c r="AB74" i="57"/>
  <c r="W74" i="57"/>
  <c r="Q74" i="57"/>
  <c r="M74" i="57"/>
  <c r="D73" i="57" l="1"/>
  <c r="C73" i="57"/>
  <c r="E73" i="57"/>
  <c r="F72" i="57"/>
  <c r="R74" i="57"/>
  <c r="T74" i="57"/>
  <c r="AC74" i="57"/>
  <c r="AD74" i="57"/>
  <c r="AI73" i="57"/>
  <c r="Z74" i="57"/>
  <c r="N74" i="57"/>
  <c r="O74" i="57"/>
  <c r="U74" i="57"/>
  <c r="S74" i="57"/>
  <c r="Y74" i="57"/>
  <c r="X74" i="57"/>
  <c r="AF75" i="57"/>
  <c r="AG75" i="57" s="1"/>
  <c r="AB75" i="57"/>
  <c r="W75" i="57"/>
  <c r="Q75" i="57"/>
  <c r="M75" i="57"/>
  <c r="D74" i="57" l="1"/>
  <c r="E74" i="57"/>
  <c r="F73" i="57"/>
  <c r="C74" i="57"/>
  <c r="R75" i="57"/>
  <c r="T75" i="57"/>
  <c r="AC75" i="57"/>
  <c r="AD75" i="57"/>
  <c r="AI74" i="57"/>
  <c r="Z75" i="57"/>
  <c r="N75" i="57"/>
  <c r="O75" i="57"/>
  <c r="S75" i="57"/>
  <c r="U75" i="57"/>
  <c r="X75" i="57"/>
  <c r="Y75" i="57"/>
  <c r="AF76" i="57"/>
  <c r="AG76" i="57" s="1"/>
  <c r="AB76" i="57"/>
  <c r="W76" i="57"/>
  <c r="Q76" i="57"/>
  <c r="M76" i="57"/>
  <c r="D75" i="57" l="1"/>
  <c r="C75" i="57"/>
  <c r="E75" i="57"/>
  <c r="F74" i="57"/>
  <c r="R76" i="57"/>
  <c r="T76" i="57"/>
  <c r="AD76" i="57"/>
  <c r="AC76" i="57"/>
  <c r="AI75" i="57"/>
  <c r="N76" i="57"/>
  <c r="Z76" i="57"/>
  <c r="O76" i="57"/>
  <c r="U76" i="57"/>
  <c r="S76" i="57"/>
  <c r="X76" i="57"/>
  <c r="Y76" i="57"/>
  <c r="AF77" i="57"/>
  <c r="AG77" i="57" s="1"/>
  <c r="AB77" i="57"/>
  <c r="W77" i="57"/>
  <c r="Q77" i="57"/>
  <c r="M77" i="57"/>
  <c r="E76" i="57" l="1"/>
  <c r="C76" i="57"/>
  <c r="F75" i="57"/>
  <c r="D76" i="57"/>
  <c r="F76" i="57" s="1"/>
  <c r="R77" i="57"/>
  <c r="T77" i="57"/>
  <c r="AC77" i="57"/>
  <c r="AD77" i="57"/>
  <c r="AI76" i="57"/>
  <c r="Z77" i="57"/>
  <c r="N77" i="57"/>
  <c r="O77" i="57"/>
  <c r="S77" i="57"/>
  <c r="U77" i="57"/>
  <c r="Y77" i="57"/>
  <c r="X77" i="57"/>
  <c r="AF78" i="57"/>
  <c r="AG78" i="57" s="1"/>
  <c r="AB78" i="57"/>
  <c r="W78" i="57"/>
  <c r="Q78" i="57"/>
  <c r="M78" i="57"/>
  <c r="D77" i="57" l="1"/>
  <c r="E77" i="57"/>
  <c r="C77" i="57"/>
  <c r="F77" i="57" s="1"/>
  <c r="R78" i="57"/>
  <c r="T78" i="57"/>
  <c r="AC78" i="57"/>
  <c r="AD78" i="57"/>
  <c r="AI77" i="57"/>
  <c r="Z78" i="57"/>
  <c r="N78" i="57"/>
  <c r="O78" i="57"/>
  <c r="U78" i="57"/>
  <c r="S78" i="57"/>
  <c r="X78" i="57"/>
  <c r="Y78" i="57"/>
  <c r="AF79" i="57"/>
  <c r="AG79" i="57" s="1"/>
  <c r="AB79" i="57"/>
  <c r="W79" i="57"/>
  <c r="Q79" i="57"/>
  <c r="M79" i="57"/>
  <c r="E78" i="57" l="1"/>
  <c r="C78" i="57"/>
  <c r="D78" i="57"/>
  <c r="R79" i="57"/>
  <c r="T79" i="57"/>
  <c r="AD79" i="57"/>
  <c r="AC79" i="57"/>
  <c r="AI78" i="57"/>
  <c r="Z79" i="57"/>
  <c r="O79" i="57"/>
  <c r="N79" i="57"/>
  <c r="S79" i="57"/>
  <c r="U79" i="57"/>
  <c r="X79" i="57"/>
  <c r="Y79" i="57"/>
  <c r="AF80" i="57"/>
  <c r="AG80" i="57" s="1"/>
  <c r="AB80" i="57"/>
  <c r="W80" i="57"/>
  <c r="Q80" i="57"/>
  <c r="M80" i="57"/>
  <c r="F78" i="57" l="1"/>
  <c r="C79" i="57"/>
  <c r="E79" i="57"/>
  <c r="D79" i="57"/>
  <c r="R80" i="57"/>
  <c r="T80" i="57"/>
  <c r="AD80" i="57"/>
  <c r="AC80" i="57"/>
  <c r="AI79" i="57"/>
  <c r="Z80" i="57"/>
  <c r="N80" i="57"/>
  <c r="O80" i="57"/>
  <c r="U80" i="57"/>
  <c r="S80" i="57"/>
  <c r="X80" i="57"/>
  <c r="Y80" i="57"/>
  <c r="AF81" i="57"/>
  <c r="AG81" i="57" s="1"/>
  <c r="AB81" i="57"/>
  <c r="W81" i="57"/>
  <c r="Q81" i="57"/>
  <c r="M81" i="57"/>
  <c r="E80" i="57" l="1"/>
  <c r="C80" i="57"/>
  <c r="D80" i="57"/>
  <c r="F79" i="57"/>
  <c r="R81" i="57"/>
  <c r="T81" i="57"/>
  <c r="AD81" i="57"/>
  <c r="AC81" i="57"/>
  <c r="AI80" i="57"/>
  <c r="Z81" i="57"/>
  <c r="N81" i="57"/>
  <c r="O81" i="57"/>
  <c r="U81" i="57"/>
  <c r="S81" i="57"/>
  <c r="Y81" i="57"/>
  <c r="X81" i="57"/>
  <c r="AF82" i="57"/>
  <c r="AG82" i="57" s="1"/>
  <c r="AB82" i="57"/>
  <c r="W82" i="57"/>
  <c r="Q82" i="57"/>
  <c r="M82" i="57"/>
  <c r="F80" i="57" l="1"/>
  <c r="E81" i="57"/>
  <c r="C81" i="57"/>
  <c r="D81" i="57"/>
  <c r="R82" i="57"/>
  <c r="T82" i="57"/>
  <c r="AC82" i="57"/>
  <c r="AD82" i="57"/>
  <c r="AI81" i="57"/>
  <c r="Z82" i="57"/>
  <c r="N82" i="57"/>
  <c r="O82" i="57"/>
  <c r="U82" i="57"/>
  <c r="S82" i="57"/>
  <c r="Y82" i="57"/>
  <c r="X82" i="57"/>
  <c r="AF83" i="57"/>
  <c r="AG83" i="57" s="1"/>
  <c r="AB83" i="57"/>
  <c r="W83" i="57"/>
  <c r="Q83" i="57"/>
  <c r="M83" i="57"/>
  <c r="C82" i="57" l="1"/>
  <c r="F81" i="57"/>
  <c r="D82" i="57"/>
  <c r="E82" i="57"/>
  <c r="R83" i="57"/>
  <c r="T83" i="57"/>
  <c r="AC83" i="57"/>
  <c r="AD83" i="57"/>
  <c r="AI82" i="57"/>
  <c r="N83" i="57"/>
  <c r="Z83" i="57"/>
  <c r="O83" i="57"/>
  <c r="U83" i="57"/>
  <c r="S83" i="57"/>
  <c r="X83" i="57"/>
  <c r="Y83" i="57"/>
  <c r="AF84" i="57"/>
  <c r="AG84" i="57" s="1"/>
  <c r="AB84" i="57"/>
  <c r="W84" i="57"/>
  <c r="Q84" i="57"/>
  <c r="M84" i="57"/>
  <c r="E83" i="57" l="1"/>
  <c r="F82" i="57"/>
  <c r="C83" i="57"/>
  <c r="D83" i="57"/>
  <c r="R84" i="57"/>
  <c r="T84" i="57"/>
  <c r="AC84" i="57"/>
  <c r="AD84" i="57"/>
  <c r="AI83" i="57"/>
  <c r="N84" i="57"/>
  <c r="Z84" i="57"/>
  <c r="O84" i="57"/>
  <c r="S84" i="57"/>
  <c r="U84" i="57"/>
  <c r="X84" i="57"/>
  <c r="Y84" i="57"/>
  <c r="AF85" i="57"/>
  <c r="AG85" i="57" s="1"/>
  <c r="AB85" i="57"/>
  <c r="W85" i="57"/>
  <c r="Q85" i="57"/>
  <c r="M85" i="57"/>
  <c r="E84" i="57" l="1"/>
  <c r="F83" i="57"/>
  <c r="C84" i="57"/>
  <c r="D84" i="57"/>
  <c r="R85" i="57"/>
  <c r="T85" i="57"/>
  <c r="AD85" i="57"/>
  <c r="AC85" i="57"/>
  <c r="AI84" i="57"/>
  <c r="Z85" i="57"/>
  <c r="N85" i="57"/>
  <c r="O85" i="57"/>
  <c r="S85" i="57"/>
  <c r="U85" i="57"/>
  <c r="Y85" i="57"/>
  <c r="X85" i="57"/>
  <c r="AF86" i="57"/>
  <c r="AG86" i="57" s="1"/>
  <c r="AB86" i="57"/>
  <c r="W86" i="57"/>
  <c r="Q86" i="57"/>
  <c r="M86" i="57"/>
  <c r="F84" i="57" l="1"/>
  <c r="D85" i="57"/>
  <c r="E85" i="57"/>
  <c r="C85" i="57"/>
  <c r="R86" i="57"/>
  <c r="T86" i="57"/>
  <c r="AC86" i="57"/>
  <c r="AD86" i="57"/>
  <c r="AI85" i="57"/>
  <c r="Z86" i="57"/>
  <c r="N86" i="57"/>
  <c r="O86" i="57"/>
  <c r="U86" i="57"/>
  <c r="S86" i="57"/>
  <c r="X86" i="57"/>
  <c r="Y86" i="57"/>
  <c r="AF87" i="57"/>
  <c r="AG87" i="57" s="1"/>
  <c r="AB87" i="57"/>
  <c r="W87" i="57"/>
  <c r="Q87" i="57"/>
  <c r="M87" i="57"/>
  <c r="F85" i="57" l="1"/>
  <c r="D86" i="57"/>
  <c r="C86" i="57"/>
  <c r="E86" i="57"/>
  <c r="R87" i="57"/>
  <c r="T87" i="57"/>
  <c r="AC87" i="57"/>
  <c r="AD87" i="57"/>
  <c r="AI86" i="57"/>
  <c r="Z87" i="57"/>
  <c r="O87" i="57"/>
  <c r="N87" i="57"/>
  <c r="U87" i="57"/>
  <c r="S87" i="57"/>
  <c r="X87" i="57"/>
  <c r="Y87" i="57"/>
  <c r="AF88" i="57"/>
  <c r="AG88" i="57" s="1"/>
  <c r="AB88" i="57"/>
  <c r="W88" i="57"/>
  <c r="Q88" i="57"/>
  <c r="M88" i="57"/>
  <c r="C87" i="57" l="1"/>
  <c r="D87" i="57"/>
  <c r="E87" i="57"/>
  <c r="F86" i="57"/>
  <c r="R88" i="57"/>
  <c r="T88" i="57"/>
  <c r="AD88" i="57"/>
  <c r="AC88" i="57"/>
  <c r="AI87" i="57"/>
  <c r="Z88" i="57"/>
  <c r="N88" i="57"/>
  <c r="O88" i="57"/>
  <c r="U88" i="57"/>
  <c r="S88" i="57"/>
  <c r="X88" i="57"/>
  <c r="Y88" i="57"/>
  <c r="AF89" i="57"/>
  <c r="AG89" i="57" s="1"/>
  <c r="AB89" i="57"/>
  <c r="W89" i="57"/>
  <c r="Q89" i="57"/>
  <c r="M89" i="57"/>
  <c r="D88" i="57" l="1"/>
  <c r="E88" i="57"/>
  <c r="C88" i="57"/>
  <c r="F87" i="57"/>
  <c r="R89" i="57"/>
  <c r="T89" i="57"/>
  <c r="AD89" i="57"/>
  <c r="AC89" i="57"/>
  <c r="AI88" i="57"/>
  <c r="Z89" i="57"/>
  <c r="O89" i="57"/>
  <c r="N89" i="57"/>
  <c r="S89" i="57"/>
  <c r="U89" i="57"/>
  <c r="Y89" i="57"/>
  <c r="X89" i="57"/>
  <c r="AF90" i="57"/>
  <c r="AG90" i="57" s="1"/>
  <c r="AB90" i="57"/>
  <c r="W90" i="57"/>
  <c r="Q90" i="57"/>
  <c r="M90" i="57"/>
  <c r="O90" i="57" s="1"/>
  <c r="D89" i="57" l="1"/>
  <c r="C89" i="57"/>
  <c r="E89" i="57"/>
  <c r="F88" i="57"/>
  <c r="R90" i="57"/>
  <c r="T90" i="57"/>
  <c r="AC90" i="57"/>
  <c r="AD90" i="57"/>
  <c r="AI89" i="57"/>
  <c r="Z90" i="57"/>
  <c r="N90" i="57"/>
  <c r="U90" i="57"/>
  <c r="S90" i="57"/>
  <c r="Y90" i="57"/>
  <c r="X90" i="57"/>
  <c r="AF91" i="57"/>
  <c r="AG91" i="57" s="1"/>
  <c r="AB91" i="57"/>
  <c r="W91" i="57"/>
  <c r="Q91" i="57"/>
  <c r="M91" i="57"/>
  <c r="E90" i="57" l="1"/>
  <c r="C90" i="57"/>
  <c r="F89" i="57"/>
  <c r="D90" i="57"/>
  <c r="F90" i="57" s="1"/>
  <c r="R91" i="57"/>
  <c r="T91" i="57"/>
  <c r="AC91" i="57"/>
  <c r="AD91" i="57"/>
  <c r="AI90" i="57"/>
  <c r="Z91" i="57"/>
  <c r="N91" i="57"/>
  <c r="O91" i="57"/>
  <c r="U91" i="57"/>
  <c r="S91" i="57"/>
  <c r="X91" i="57"/>
  <c r="Y91" i="57"/>
  <c r="AF92" i="57"/>
  <c r="AG92" i="57" s="1"/>
  <c r="AB92" i="57"/>
  <c r="W92" i="57"/>
  <c r="Q92" i="57"/>
  <c r="M92" i="57"/>
  <c r="E91" i="57" l="1"/>
  <c r="C91" i="57"/>
  <c r="D91" i="57"/>
  <c r="R92" i="57"/>
  <c r="T92" i="57"/>
  <c r="AC92" i="57"/>
  <c r="AD92" i="57"/>
  <c r="AI91" i="57"/>
  <c r="Z92" i="57"/>
  <c r="N92" i="57"/>
  <c r="O92" i="57"/>
  <c r="U92" i="57"/>
  <c r="S92" i="57"/>
  <c r="Y92" i="57"/>
  <c r="X92" i="57"/>
  <c r="AF93" i="57"/>
  <c r="AG93" i="57" s="1"/>
  <c r="AB93" i="57"/>
  <c r="W93" i="57"/>
  <c r="Q93" i="57"/>
  <c r="M93" i="57"/>
  <c r="E92" i="57" l="1"/>
  <c r="C92" i="57"/>
  <c r="F91" i="57"/>
  <c r="D92" i="57"/>
  <c r="R93" i="57"/>
  <c r="T93" i="57"/>
  <c r="AC93" i="57"/>
  <c r="AD93" i="57"/>
  <c r="AI92" i="57"/>
  <c r="Z93" i="57"/>
  <c r="N93" i="57"/>
  <c r="O93" i="57"/>
  <c r="S93" i="57"/>
  <c r="U93" i="57"/>
  <c r="Y93" i="57"/>
  <c r="X93" i="57"/>
  <c r="AF94" i="57"/>
  <c r="AG94" i="57" s="1"/>
  <c r="AB94" i="57"/>
  <c r="W94" i="57"/>
  <c r="Q94" i="57"/>
  <c r="M94" i="57"/>
  <c r="F92" i="57" l="1"/>
  <c r="D93" i="57"/>
  <c r="E93" i="57"/>
  <c r="C93" i="57"/>
  <c r="R94" i="57"/>
  <c r="T94" i="57"/>
  <c r="AD94" i="57"/>
  <c r="AC94" i="57"/>
  <c r="AI93" i="57"/>
  <c r="N94" i="57"/>
  <c r="Z94" i="57"/>
  <c r="O94" i="57"/>
  <c r="U94" i="57"/>
  <c r="S94" i="57"/>
  <c r="X94" i="57"/>
  <c r="Y94" i="57"/>
  <c r="AF95" i="57"/>
  <c r="AG95" i="57" s="1"/>
  <c r="AB95" i="57"/>
  <c r="W95" i="57"/>
  <c r="Q95" i="57"/>
  <c r="M95" i="57"/>
  <c r="F93" i="57" l="1"/>
  <c r="E94" i="57"/>
  <c r="D94" i="57"/>
  <c r="C94" i="57"/>
  <c r="R95" i="57"/>
  <c r="T95" i="57"/>
  <c r="AC95" i="57"/>
  <c r="AD95" i="57"/>
  <c r="AI94" i="57"/>
  <c r="O95" i="57"/>
  <c r="Z95" i="57"/>
  <c r="N95" i="57"/>
  <c r="S95" i="57"/>
  <c r="U95" i="57"/>
  <c r="X95" i="57"/>
  <c r="Y95" i="57"/>
  <c r="AF96" i="57"/>
  <c r="AG96" i="57" s="1"/>
  <c r="AB96" i="57"/>
  <c r="W96" i="57"/>
  <c r="Q96" i="57"/>
  <c r="M96" i="57"/>
  <c r="C95" i="57" l="1"/>
  <c r="F94" i="57"/>
  <c r="D95" i="57"/>
  <c r="E95" i="57"/>
  <c r="R96" i="57"/>
  <c r="T96" i="57"/>
  <c r="AD96" i="57"/>
  <c r="AC96" i="57"/>
  <c r="AI95" i="57"/>
  <c r="Z96" i="57"/>
  <c r="N96" i="57"/>
  <c r="O96" i="57"/>
  <c r="S96" i="57"/>
  <c r="U96" i="57"/>
  <c r="Y96" i="57"/>
  <c r="X96" i="57"/>
  <c r="AF97" i="57"/>
  <c r="AG97" i="57" s="1"/>
  <c r="AB97" i="57"/>
  <c r="W97" i="57"/>
  <c r="Q97" i="57"/>
  <c r="M97" i="57"/>
  <c r="C96" i="57" l="1"/>
  <c r="D96" i="57"/>
  <c r="E96" i="57"/>
  <c r="F95" i="57"/>
  <c r="R97" i="57"/>
  <c r="T97" i="57"/>
  <c r="AD97" i="57"/>
  <c r="AC97" i="57"/>
  <c r="AI96" i="57"/>
  <c r="Z97" i="57"/>
  <c r="N97" i="57"/>
  <c r="O97" i="57"/>
  <c r="U97" i="57"/>
  <c r="S97" i="57"/>
  <c r="X97" i="57"/>
  <c r="Y97" i="57"/>
  <c r="AF98" i="57"/>
  <c r="AG98" i="57" s="1"/>
  <c r="AB98" i="57"/>
  <c r="W98" i="57"/>
  <c r="Q98" i="57"/>
  <c r="M98" i="57"/>
  <c r="E97" i="57" l="1"/>
  <c r="C97" i="57"/>
  <c r="F96" i="57"/>
  <c r="D97" i="57"/>
  <c r="R98" i="57"/>
  <c r="T98" i="57"/>
  <c r="AC98" i="57"/>
  <c r="AD98" i="57"/>
  <c r="AI97" i="57"/>
  <c r="N98" i="57"/>
  <c r="Z98" i="57"/>
  <c r="O98" i="57"/>
  <c r="U98" i="57"/>
  <c r="S98" i="57"/>
  <c r="X98" i="57"/>
  <c r="Y98" i="57"/>
  <c r="AF99" i="57"/>
  <c r="AG99" i="57" s="1"/>
  <c r="AB99" i="57"/>
  <c r="W99" i="57"/>
  <c r="Q99" i="57"/>
  <c r="M99" i="57"/>
  <c r="D98" i="57" l="1"/>
  <c r="E98" i="57"/>
  <c r="C98" i="57"/>
  <c r="F97" i="57"/>
  <c r="R99" i="57"/>
  <c r="T99" i="57"/>
  <c r="AC99" i="57"/>
  <c r="AD99" i="57"/>
  <c r="AI98" i="57"/>
  <c r="Z99" i="57"/>
  <c r="N99" i="57"/>
  <c r="O99" i="57"/>
  <c r="U99" i="57"/>
  <c r="S99" i="57"/>
  <c r="X99" i="57"/>
  <c r="Y99" i="57"/>
  <c r="AF100" i="57"/>
  <c r="AG100" i="57" s="1"/>
  <c r="AB100" i="57"/>
  <c r="W100" i="57"/>
  <c r="Q100" i="57"/>
  <c r="M100" i="57"/>
  <c r="F98" i="57" l="1"/>
  <c r="D99" i="57"/>
  <c r="E99" i="57"/>
  <c r="C99" i="57"/>
  <c r="R100" i="57"/>
  <c r="T100" i="57"/>
  <c r="AD100" i="57"/>
  <c r="AC100" i="57"/>
  <c r="AI99" i="57"/>
  <c r="Z100" i="57"/>
  <c r="N100" i="57"/>
  <c r="O100" i="57"/>
  <c r="S100" i="57"/>
  <c r="U100" i="57"/>
  <c r="Y100" i="57"/>
  <c r="X100" i="57"/>
  <c r="AF101" i="57"/>
  <c r="AG101" i="57" s="1"/>
  <c r="AB101" i="57"/>
  <c r="W101" i="57"/>
  <c r="Q101" i="57"/>
  <c r="M101" i="57"/>
  <c r="F99" i="57" l="1"/>
  <c r="E100" i="57"/>
  <c r="C100" i="57"/>
  <c r="D100" i="57"/>
  <c r="R101" i="57"/>
  <c r="T101" i="57"/>
  <c r="AD101" i="57"/>
  <c r="AC101" i="57"/>
  <c r="AI100" i="57"/>
  <c r="Z101" i="57"/>
  <c r="N101" i="57"/>
  <c r="O101" i="57"/>
  <c r="S101" i="57"/>
  <c r="U101" i="57"/>
  <c r="X101" i="57"/>
  <c r="Y101" i="57"/>
  <c r="AF102" i="57"/>
  <c r="AG102" i="57" s="1"/>
  <c r="AB102" i="57"/>
  <c r="W102" i="57"/>
  <c r="Q102" i="57"/>
  <c r="M102" i="57"/>
  <c r="E101" i="57" l="1"/>
  <c r="C101" i="57"/>
  <c r="D101" i="57"/>
  <c r="F100" i="57"/>
  <c r="R102" i="57"/>
  <c r="T102" i="57"/>
  <c r="AC102" i="57"/>
  <c r="AD102" i="57"/>
  <c r="AI101" i="57"/>
  <c r="N102" i="57"/>
  <c r="Z102" i="57"/>
  <c r="O102" i="57"/>
  <c r="U102" i="57"/>
  <c r="S102" i="57"/>
  <c r="X102" i="57"/>
  <c r="Y102" i="57"/>
  <c r="AF103" i="57"/>
  <c r="AG103" i="57" s="1"/>
  <c r="AB103" i="57"/>
  <c r="W103" i="57"/>
  <c r="Q103" i="57"/>
  <c r="M103" i="57"/>
  <c r="E102" i="57" l="1"/>
  <c r="C102" i="57"/>
  <c r="F101" i="57"/>
  <c r="D102" i="57"/>
  <c r="R103" i="57"/>
  <c r="T103" i="57"/>
  <c r="AC103" i="57"/>
  <c r="AD103" i="57"/>
  <c r="AI102" i="57"/>
  <c r="O103" i="57"/>
  <c r="Z103" i="57"/>
  <c r="N103" i="57"/>
  <c r="U103" i="57"/>
  <c r="S103" i="57"/>
  <c r="X103" i="57"/>
  <c r="Y103" i="57"/>
  <c r="AF104" i="57"/>
  <c r="AG104" i="57" s="1"/>
  <c r="AB104" i="57"/>
  <c r="W104" i="57"/>
  <c r="Q104" i="57"/>
  <c r="M104" i="57"/>
  <c r="C103" i="57" l="1"/>
  <c r="E103" i="57"/>
  <c r="F102" i="57"/>
  <c r="D103" i="57"/>
  <c r="R104" i="57"/>
  <c r="T104" i="57"/>
  <c r="AD104" i="57"/>
  <c r="AC104" i="57"/>
  <c r="AI103" i="57"/>
  <c r="Z104" i="57"/>
  <c r="N104" i="57"/>
  <c r="O104" i="57"/>
  <c r="U104" i="57"/>
  <c r="S104" i="57"/>
  <c r="Y104" i="57"/>
  <c r="X104" i="57"/>
  <c r="AF105" i="57"/>
  <c r="AG105" i="57" s="1"/>
  <c r="AB105" i="57"/>
  <c r="W105" i="57"/>
  <c r="Q105" i="57"/>
  <c r="M105" i="57"/>
  <c r="D104" i="57" l="1"/>
  <c r="E104" i="57"/>
  <c r="C104" i="57"/>
  <c r="F103" i="57"/>
  <c r="R105" i="57"/>
  <c r="T105" i="57"/>
  <c r="AC105" i="57"/>
  <c r="AD105" i="57"/>
  <c r="AI104" i="57"/>
  <c r="Z105" i="57"/>
  <c r="N105" i="57"/>
  <c r="O105" i="57"/>
  <c r="S105" i="57"/>
  <c r="U105" i="57"/>
  <c r="X105" i="57"/>
  <c r="Y105" i="57"/>
  <c r="AF106" i="57"/>
  <c r="AG106" i="57" s="1"/>
  <c r="AB106" i="57"/>
  <c r="W106" i="57"/>
  <c r="Q106" i="57"/>
  <c r="M106" i="57"/>
  <c r="F104" i="57" l="1"/>
  <c r="D105" i="57"/>
  <c r="E105" i="57"/>
  <c r="C105" i="57"/>
  <c r="F105" i="57" s="1"/>
  <c r="R106" i="57"/>
  <c r="T106" i="57"/>
  <c r="AC106" i="57"/>
  <c r="AD106" i="57"/>
  <c r="AI105" i="57"/>
  <c r="N106" i="57"/>
  <c r="O106" i="57"/>
  <c r="Z106" i="57"/>
  <c r="U106" i="57"/>
  <c r="S106" i="57"/>
  <c r="X106" i="57"/>
  <c r="Y106" i="57"/>
  <c r="AF107" i="57"/>
  <c r="AG107" i="57" s="1"/>
  <c r="AB107" i="57"/>
  <c r="W107" i="57"/>
  <c r="Q107" i="57"/>
  <c r="M107" i="57"/>
  <c r="E106" i="57" l="1"/>
  <c r="D106" i="57"/>
  <c r="C106" i="57"/>
  <c r="R107" i="57"/>
  <c r="T107" i="57"/>
  <c r="AC107" i="57"/>
  <c r="AD107" i="57"/>
  <c r="AI106" i="57"/>
  <c r="Z107" i="57"/>
  <c r="N107" i="57"/>
  <c r="O107" i="57"/>
  <c r="S107" i="57"/>
  <c r="U107" i="57"/>
  <c r="X107" i="57"/>
  <c r="Y107" i="57"/>
  <c r="AF108" i="57"/>
  <c r="AG108" i="57" s="1"/>
  <c r="AB108" i="57"/>
  <c r="W108" i="57"/>
  <c r="Q108" i="57"/>
  <c r="M108" i="57"/>
  <c r="F106" i="57" l="1"/>
  <c r="E107" i="57"/>
  <c r="C107" i="57"/>
  <c r="D107" i="57"/>
  <c r="R108" i="57"/>
  <c r="T108" i="57"/>
  <c r="AC108" i="57"/>
  <c r="AD108" i="57"/>
  <c r="AI107" i="57"/>
  <c r="Z108" i="57"/>
  <c r="N108" i="57"/>
  <c r="O108" i="57"/>
  <c r="U108" i="57"/>
  <c r="S108" i="57"/>
  <c r="Y108" i="57"/>
  <c r="X108" i="57"/>
  <c r="AF109" i="57"/>
  <c r="AG109" i="57" s="1"/>
  <c r="AB109" i="57"/>
  <c r="W109" i="57"/>
  <c r="Q109" i="57"/>
  <c r="M109" i="57"/>
  <c r="E108" i="57" l="1"/>
  <c r="C108" i="57"/>
  <c r="F107" i="57"/>
  <c r="D108" i="57"/>
  <c r="R109" i="57"/>
  <c r="T109" i="57"/>
  <c r="AD109" i="57"/>
  <c r="AC109" i="57"/>
  <c r="AI108" i="57"/>
  <c r="Z109" i="57"/>
  <c r="N109" i="57"/>
  <c r="O109" i="57"/>
  <c r="S109" i="57"/>
  <c r="U109" i="57"/>
  <c r="Y109" i="57"/>
  <c r="X109" i="57"/>
  <c r="AF110" i="57"/>
  <c r="AG110" i="57" s="1"/>
  <c r="AB110" i="57"/>
  <c r="W110" i="57"/>
  <c r="Q110" i="57"/>
  <c r="M110" i="57"/>
  <c r="D109" i="57" l="1"/>
  <c r="C109" i="57"/>
  <c r="E109" i="57"/>
  <c r="F108" i="57"/>
  <c r="R110" i="57"/>
  <c r="T110" i="57"/>
  <c r="AC110" i="57"/>
  <c r="AD110" i="57"/>
  <c r="AI109" i="57"/>
  <c r="Z110" i="57"/>
  <c r="N110" i="57"/>
  <c r="O110" i="57"/>
  <c r="U110" i="57"/>
  <c r="S110" i="57"/>
  <c r="X110" i="57"/>
  <c r="Y110" i="57"/>
  <c r="AF111" i="57"/>
  <c r="AG111" i="57" s="1"/>
  <c r="AB111" i="57"/>
  <c r="W111" i="57"/>
  <c r="Q111" i="57"/>
  <c r="M111" i="57"/>
  <c r="C110" i="57" l="1"/>
  <c r="F109" i="57"/>
  <c r="D110" i="57"/>
  <c r="E110" i="57"/>
  <c r="R111" i="57"/>
  <c r="T111" i="57"/>
  <c r="AD111" i="57"/>
  <c r="AC111" i="57"/>
  <c r="AI110" i="57"/>
  <c r="N111" i="57"/>
  <c r="Z111" i="57"/>
  <c r="O111" i="57"/>
  <c r="S111" i="57"/>
  <c r="U111" i="57"/>
  <c r="X111" i="57"/>
  <c r="Y111" i="57"/>
  <c r="AF112" i="57"/>
  <c r="AG112" i="57" s="1"/>
  <c r="AG114" i="57" s="1"/>
  <c r="AB112" i="57"/>
  <c r="W112" i="57"/>
  <c r="Q112" i="57"/>
  <c r="M112" i="57"/>
  <c r="E111" i="57" l="1"/>
  <c r="D111" i="57"/>
  <c r="C111" i="57"/>
  <c r="F111" i="57" s="1"/>
  <c r="F110" i="57"/>
  <c r="R112" i="57"/>
  <c r="R114" i="57" s="1"/>
  <c r="T112" i="57"/>
  <c r="AI111" i="57"/>
  <c r="AD112" i="57"/>
  <c r="AD114" i="57" s="1"/>
  <c r="AC112" i="57"/>
  <c r="AC114" i="57" s="1"/>
  <c r="AG121" i="57"/>
  <c r="AG113" i="57"/>
  <c r="Z112" i="57"/>
  <c r="Z114" i="57" s="1"/>
  <c r="N112" i="57"/>
  <c r="O112" i="57"/>
  <c r="U112" i="57"/>
  <c r="U114" i="57" s="1"/>
  <c r="S112" i="57"/>
  <c r="Y112" i="57"/>
  <c r="Y114" i="57" s="1"/>
  <c r="X112" i="57"/>
  <c r="X114" i="57" s="1"/>
  <c r="S114" i="57" l="1"/>
  <c r="D112" i="57"/>
  <c r="D113" i="57" s="1"/>
  <c r="D6" i="57" s="1"/>
  <c r="O114" i="57"/>
  <c r="E112" i="57"/>
  <c r="N114" i="57"/>
  <c r="N121" i="57" s="1"/>
  <c r="C112" i="57"/>
  <c r="X121" i="57"/>
  <c r="AC121" i="57"/>
  <c r="AI112" i="57"/>
  <c r="N113" i="57"/>
  <c r="Z113" i="57"/>
  <c r="R113" i="57"/>
  <c r="AC113" i="57"/>
  <c r="AD113" i="57"/>
  <c r="X113" i="57"/>
  <c r="Y113" i="57"/>
  <c r="U113" i="57"/>
  <c r="S113" i="57"/>
  <c r="O113" i="57"/>
  <c r="F112" i="57" l="1"/>
  <c r="C113" i="57"/>
  <c r="D5" i="57" s="1"/>
  <c r="AI26" i="57"/>
  <c r="AI27" i="57"/>
  <c r="AI28" i="57"/>
  <c r="AI29" i="57"/>
  <c r="AI30" i="57"/>
  <c r="K80" i="55" l="1"/>
  <c r="L80" i="55" s="1"/>
  <c r="M80" i="55" s="1"/>
  <c r="K83" i="55"/>
  <c r="L83" i="55" s="1"/>
  <c r="M83" i="55" s="1"/>
  <c r="K79" i="55"/>
  <c r="L79" i="55" s="1"/>
  <c r="M79" i="55" s="1"/>
  <c r="K84" i="55"/>
  <c r="L84" i="55" s="1"/>
  <c r="M84" i="55" s="1"/>
  <c r="K81" i="55"/>
  <c r="L81" i="55" s="1"/>
  <c r="M81" i="55" s="1"/>
  <c r="K71" i="55"/>
  <c r="L71" i="55" s="1"/>
  <c r="M71" i="55" s="1"/>
  <c r="K75" i="55"/>
  <c r="L75" i="55" s="1"/>
  <c r="M75" i="55" s="1"/>
  <c r="K70" i="55"/>
  <c r="L70" i="55" s="1"/>
  <c r="M70" i="55" s="1"/>
  <c r="K82" i="55"/>
  <c r="L82" i="55" s="1"/>
  <c r="M82" i="55" s="1"/>
  <c r="K76" i="55"/>
  <c r="L76" i="55" s="1"/>
  <c r="M76" i="55" s="1"/>
  <c r="K85" i="55"/>
  <c r="L85" i="55" s="1"/>
  <c r="M85" i="55" s="1"/>
  <c r="K78" i="55"/>
  <c r="L78" i="55" s="1"/>
  <c r="M78" i="55" s="1"/>
  <c r="F71" i="55"/>
  <c r="F81" i="55"/>
  <c r="G81" i="55" s="1"/>
  <c r="H81" i="55" s="1"/>
  <c r="F79" i="55"/>
  <c r="G79" i="55" s="1"/>
  <c r="H79" i="55" s="1"/>
  <c r="F84" i="55"/>
  <c r="G84" i="55" s="1"/>
  <c r="I84" i="55" s="1"/>
  <c r="F85" i="55"/>
  <c r="F75" i="55"/>
  <c r="G75" i="55" s="1"/>
  <c r="H75" i="55" s="1"/>
  <c r="F83" i="55"/>
  <c r="G83" i="55" s="1"/>
  <c r="H83" i="55" s="1"/>
  <c r="F70" i="55"/>
  <c r="G70" i="55" s="1"/>
  <c r="H70" i="55" s="1"/>
  <c r="I70" i="55" s="1"/>
  <c r="F82" i="55"/>
  <c r="G82" i="55" s="1"/>
  <c r="H82" i="55" s="1"/>
  <c r="F76" i="55"/>
  <c r="F78" i="55"/>
  <c r="G78" i="55" s="1"/>
  <c r="H78" i="55" s="1"/>
  <c r="F80" i="55"/>
  <c r="G80" i="55" s="1"/>
  <c r="H80" i="55" s="1"/>
  <c r="J84" i="55" l="1"/>
  <c r="N70" i="55"/>
  <c r="I79" i="55"/>
  <c r="J79" i="55" s="1"/>
  <c r="I82" i="55"/>
  <c r="J82" i="55" s="1"/>
  <c r="N81" i="55"/>
  <c r="O81" i="55" s="1"/>
  <c r="I78" i="55"/>
  <c r="J78" i="55" s="1"/>
  <c r="N71" i="55"/>
  <c r="O71" i="55" s="1"/>
  <c r="N78" i="55"/>
  <c r="O78" i="55" s="1"/>
  <c r="N84" i="55"/>
  <c r="O84" i="55" s="1"/>
  <c r="I80" i="55"/>
  <c r="J80" i="55" s="1"/>
  <c r="I81" i="55"/>
  <c r="J81" i="55" s="1"/>
  <c r="N85" i="55"/>
  <c r="O85" i="55" s="1"/>
  <c r="N79" i="55"/>
  <c r="O79" i="55" s="1"/>
  <c r="N75" i="55"/>
  <c r="O75" i="55" s="1"/>
  <c r="I83" i="55"/>
  <c r="J83" i="55" s="1"/>
  <c r="N76" i="55"/>
  <c r="O76" i="55" s="1"/>
  <c r="N83" i="55"/>
  <c r="O83" i="55" s="1"/>
  <c r="I75" i="55"/>
  <c r="J75" i="55" s="1"/>
  <c r="N82" i="55"/>
  <c r="O82" i="55" s="1"/>
  <c r="N80" i="55"/>
  <c r="O80" i="55" s="1"/>
  <c r="F72" i="55"/>
  <c r="G72" i="55" s="1"/>
  <c r="H72" i="55" s="1"/>
  <c r="J70" i="55"/>
  <c r="G76" i="55"/>
  <c r="H76" i="55" s="1"/>
  <c r="K77" i="55"/>
  <c r="L77" i="55" s="1"/>
  <c r="M77" i="55" s="1"/>
  <c r="F77" i="55"/>
  <c r="G85" i="55"/>
  <c r="H85" i="55" s="1"/>
  <c r="G71" i="55"/>
  <c r="H71" i="55" s="1"/>
  <c r="K72" i="55"/>
  <c r="L72" i="55" s="1"/>
  <c r="M72" i="55" s="1"/>
  <c r="N72" i="55" s="1"/>
  <c r="O70" i="55" l="1"/>
  <c r="T80" i="55"/>
  <c r="T79" i="55"/>
  <c r="T81" i="55"/>
  <c r="T83" i="55"/>
  <c r="T82" i="55"/>
  <c r="T75" i="55"/>
  <c r="T84" i="55"/>
  <c r="T78" i="55"/>
  <c r="I85" i="55"/>
  <c r="J85" i="55" s="1"/>
  <c r="T85" i="55" s="1"/>
  <c r="I72" i="55"/>
  <c r="J72" i="55" s="1"/>
  <c r="N77" i="55"/>
  <c r="O77" i="55" s="1"/>
  <c r="I76" i="55"/>
  <c r="J76" i="55" s="1"/>
  <c r="T76" i="55" s="1"/>
  <c r="T70" i="55"/>
  <c r="I71" i="55"/>
  <c r="J71" i="55" s="1"/>
  <c r="T71" i="55" s="1"/>
  <c r="G77" i="55"/>
  <c r="H77" i="55" s="1"/>
  <c r="K73" i="55"/>
  <c r="L73" i="55" s="1"/>
  <c r="M73" i="55" s="1"/>
  <c r="O72" i="55"/>
  <c r="N73" i="55" l="1"/>
  <c r="I77" i="55"/>
  <c r="J77" i="55" s="1"/>
  <c r="T77" i="55" s="1"/>
  <c r="T72" i="55"/>
  <c r="O73" i="55" l="1"/>
  <c r="T48" i="55"/>
  <c r="F73" i="55" s="1"/>
  <c r="F74" i="55" l="1"/>
  <c r="G73" i="55"/>
  <c r="H73" i="55" s="1"/>
  <c r="I73" i="55" s="1"/>
  <c r="K74" i="55"/>
  <c r="L74" i="55" s="1"/>
  <c r="M74" i="55" s="1"/>
  <c r="N74" i="55" s="1"/>
  <c r="T21" i="57" l="1"/>
  <c r="E21" i="57" s="1"/>
  <c r="F21" i="57" s="1"/>
  <c r="T24" i="57"/>
  <c r="E24" i="57" s="1"/>
  <c r="F24" i="57" s="1"/>
  <c r="T25" i="57"/>
  <c r="E25" i="57" s="1"/>
  <c r="F25" i="57" s="1"/>
  <c r="T19" i="57"/>
  <c r="E19" i="57" s="1"/>
  <c r="F19" i="57" s="1"/>
  <c r="T20" i="57"/>
  <c r="E20" i="57" s="1"/>
  <c r="F20" i="57" s="1"/>
  <c r="T22" i="57"/>
  <c r="E22" i="57" s="1"/>
  <c r="F22" i="57" s="1"/>
  <c r="T23" i="57"/>
  <c r="E23" i="57" s="1"/>
  <c r="F23" i="57" s="1"/>
  <c r="N89" i="55"/>
  <c r="O74" i="55"/>
  <c r="J73" i="55"/>
  <c r="G74" i="55"/>
  <c r="H74" i="55" s="1"/>
  <c r="AI24" i="57" l="1"/>
  <c r="AI19" i="57"/>
  <c r="AI20" i="57"/>
  <c r="AI21" i="57"/>
  <c r="AI25" i="57"/>
  <c r="AI22" i="57"/>
  <c r="AI23" i="57"/>
  <c r="I74" i="55"/>
  <c r="J74" i="55" s="1"/>
  <c r="T74" i="55" s="1"/>
  <c r="T73" i="55"/>
  <c r="O90" i="55"/>
  <c r="J90" i="55" l="1"/>
  <c r="B23" i="64" s="1"/>
  <c r="I89" i="55"/>
  <c r="T13" i="57" l="1"/>
  <c r="T14" i="57"/>
  <c r="E14" i="57" s="1"/>
  <c r="F14" i="57" s="1"/>
  <c r="T15" i="57"/>
  <c r="E15" i="57" s="1"/>
  <c r="F15" i="57" s="1"/>
  <c r="T16" i="57"/>
  <c r="E16" i="57" s="1"/>
  <c r="F16" i="57" s="1"/>
  <c r="T17" i="57"/>
  <c r="E17" i="57" s="1"/>
  <c r="F17" i="57" s="1"/>
  <c r="T18" i="57"/>
  <c r="E18" i="57" s="1"/>
  <c r="F18" i="57" s="1"/>
  <c r="C23" i="64"/>
  <c r="D14" i="66"/>
  <c r="AI13" i="57"/>
  <c r="T90" i="55"/>
  <c r="B25" i="64"/>
  <c r="AI15" i="57" l="1"/>
  <c r="E13" i="57"/>
  <c r="T114" i="57"/>
  <c r="R121" i="57" s="1"/>
  <c r="AI18" i="57"/>
  <c r="AI16" i="57"/>
  <c r="AI17" i="57"/>
  <c r="AI14" i="57"/>
  <c r="D15" i="66"/>
  <c r="D16" i="66" s="1"/>
  <c r="D18" i="66" s="1"/>
  <c r="T113" i="57"/>
  <c r="O116" i="57" s="1"/>
  <c r="C25" i="64"/>
  <c r="C26" i="64" s="1"/>
  <c r="D23" i="64"/>
  <c r="B26" i="64"/>
  <c r="AI113" i="57" l="1"/>
  <c r="F13" i="57"/>
  <c r="F113" i="57" s="1"/>
  <c r="E113" i="57"/>
  <c r="D7" i="57" s="1"/>
  <c r="D8" i="57" s="1"/>
  <c r="O117" i="57"/>
  <c r="D25" i="64"/>
  <c r="D26" i="64" s="1"/>
</calcChain>
</file>

<file path=xl/sharedStrings.xml><?xml version="1.0" encoding="utf-8"?>
<sst xmlns="http://schemas.openxmlformats.org/spreadsheetml/2006/main" count="577" uniqueCount="339">
  <si>
    <t>Cost</t>
  </si>
  <si>
    <t>Number</t>
  </si>
  <si>
    <t>Shipping and Analysis</t>
  </si>
  <si>
    <t>Reporting</t>
  </si>
  <si>
    <t>Quarterly</t>
  </si>
  <si>
    <t>Annual</t>
  </si>
  <si>
    <t>Location</t>
  </si>
  <si>
    <t>SWRF Dam 1 (181-2003-Dam 1)</t>
  </si>
  <si>
    <t>SWRF Dam 2 (181-2003-Dam 2)</t>
  </si>
  <si>
    <t>SWRF Dam 3 (181-2003-Dam 3)</t>
  </si>
  <si>
    <t>Magnetite Interceptor Trench</t>
  </si>
  <si>
    <t>Union Hill Adit Seep</t>
  </si>
  <si>
    <t>Upper Creek Containment Pond 1</t>
  </si>
  <si>
    <t>Grape Gulch Pond #3</t>
  </si>
  <si>
    <t>Age Today (yr)</t>
  </si>
  <si>
    <t>Blackman's Seep (Pond #2)</t>
  </si>
  <si>
    <t>Surge Tank</t>
  </si>
  <si>
    <t>Magnetite Tailings Seepage Pond</t>
  </si>
  <si>
    <t>Reclaim Pond</t>
  </si>
  <si>
    <t>Capacity (gallons)</t>
  </si>
  <si>
    <t>Steel Tank Life Expectancy (yr)</t>
  </si>
  <si>
    <t>Material</t>
  </si>
  <si>
    <t>Construction Type</t>
  </si>
  <si>
    <t>concrete</t>
  </si>
  <si>
    <t>steel</t>
  </si>
  <si>
    <t>unlined</t>
  </si>
  <si>
    <t>Pipelines</t>
  </si>
  <si>
    <t>To</t>
  </si>
  <si>
    <t>From</t>
  </si>
  <si>
    <t>HDPE</t>
  </si>
  <si>
    <t>Variables</t>
  </si>
  <si>
    <t>Booster Pump 2</t>
  </si>
  <si>
    <t>Chezy Head Loss Coefficient</t>
  </si>
  <si>
    <t>Inside Diameter (in)</t>
  </si>
  <si>
    <t>Power Pole Spacing (ft)</t>
  </si>
  <si>
    <t>Electrical Infrastructure</t>
  </si>
  <si>
    <t>Annual Pipeline Maintenance to Capital Factor</t>
  </si>
  <si>
    <t>Removal Year</t>
  </si>
  <si>
    <t>Office Area</t>
  </si>
  <si>
    <t>Number of Poles</t>
  </si>
  <si>
    <t>Annual Electrical Infrastructure Maintenance to Capital Factor</t>
  </si>
  <si>
    <t>Annual Pump Maintenance to Capital Factor</t>
  </si>
  <si>
    <t>Annual Pond Maintenance to Capital Factor</t>
  </si>
  <si>
    <t>Year</t>
  </si>
  <si>
    <t>($)</t>
  </si>
  <si>
    <t>PIPELINES</t>
  </si>
  <si>
    <t>PONDS &amp; TANKS</t>
  </si>
  <si>
    <t>ELECTRICAL INFRASTRUCTURE</t>
  </si>
  <si>
    <t>ENVIROMENTAL SAMPLING</t>
  </si>
  <si>
    <t>Capital</t>
  </si>
  <si>
    <t>O&amp;M</t>
  </si>
  <si>
    <t>-</t>
  </si>
  <si>
    <t>Pump / Motor Efficiency</t>
  </si>
  <si>
    <t>HDPE Pipeline Life Expectancy (yr)</t>
  </si>
  <si>
    <t>Number of Replacements</t>
  </si>
  <si>
    <t xml:space="preserve">    Semi-Annual Sampling Cost</t>
  </si>
  <si>
    <t xml:space="preserve">    Annual Sampling Cost</t>
  </si>
  <si>
    <t>Tailings</t>
  </si>
  <si>
    <t>Stockpiles</t>
  </si>
  <si>
    <t>Semi-</t>
  </si>
  <si>
    <t>Total Well</t>
  </si>
  <si>
    <t>Yearly</t>
  </si>
  <si>
    <t>Locations</t>
  </si>
  <si>
    <t>Intercept Wells</t>
  </si>
  <si>
    <t>Capacity (cy)</t>
  </si>
  <si>
    <t>Water Treatment Unit Costs</t>
  </si>
  <si>
    <t>Activity</t>
  </si>
  <si>
    <t>Utility Pole Demo</t>
  </si>
  <si>
    <t>ea</t>
  </si>
  <si>
    <t>Cross Arm Demo</t>
  </si>
  <si>
    <t>Utility Pole Installation b.)</t>
  </si>
  <si>
    <t>Utility Pole Installation c.)</t>
  </si>
  <si>
    <t>Electrical Wiring Installation a.)</t>
  </si>
  <si>
    <t>Electrical Wiring Installation b.)</t>
  </si>
  <si>
    <t>Potential Transformers</t>
  </si>
  <si>
    <t>sf</t>
  </si>
  <si>
    <t>cy</t>
  </si>
  <si>
    <t>Reservoir Liners HDPE</t>
  </si>
  <si>
    <t>Water Treatment Tank</t>
  </si>
  <si>
    <t>lf</t>
  </si>
  <si>
    <t>Water Supply Piping</t>
  </si>
  <si>
    <t>Mill No 1</t>
  </si>
  <si>
    <t>Tailings Impoundment Top</t>
  </si>
  <si>
    <t>Mill No 2</t>
  </si>
  <si>
    <t>Road</t>
  </si>
  <si>
    <t>Number Transformer Stations</t>
  </si>
  <si>
    <t>Environmental Sampling</t>
  </si>
  <si>
    <t>Facility Water Distribution Piping</t>
  </si>
  <si>
    <t>Sampling</t>
  </si>
  <si>
    <t>Energy Labs Unit Rates:</t>
  </si>
  <si>
    <t>Item</t>
  </si>
  <si>
    <t>Pumps</t>
  </si>
  <si>
    <t>Decant Pond #4</t>
  </si>
  <si>
    <t>Starting Elevation
(ft)</t>
  </si>
  <si>
    <t>Maximum Elevation
(ft)</t>
  </si>
  <si>
    <t>Head Loss
(ft)</t>
  </si>
  <si>
    <t>Operating Time
(hr/yr)</t>
  </si>
  <si>
    <t>Length
(ft)</t>
  </si>
  <si>
    <t>Reclamation 
Replacement 
Year
(yr)</t>
  </si>
  <si>
    <t>Total Estimated Cost</t>
  </si>
  <si>
    <t>Wood Electrical Utility Poles a.)</t>
  </si>
  <si>
    <t>Reclaim Pond Pump Fuel Consumption Rate (gal/hr)</t>
  </si>
  <si>
    <t>gal</t>
  </si>
  <si>
    <t>Description</t>
  </si>
  <si>
    <t>Variable</t>
  </si>
  <si>
    <t>Shipping Cost ($/sample)</t>
  </si>
  <si>
    <t>Review Work per Sample (hours)</t>
  </si>
  <si>
    <t>Review Work Rate ($/hour)</t>
  </si>
  <si>
    <t>Reporting Cost ($/sample)</t>
  </si>
  <si>
    <t>Reporting (hour/sample)</t>
  </si>
  <si>
    <t>Shipping Cost ($/cooler)</t>
  </si>
  <si>
    <t>Rate ($/hour)</t>
  </si>
  <si>
    <t>Total Sample Cost ($/sample)</t>
  </si>
  <si>
    <t>Events</t>
  </si>
  <si>
    <t>Per Year</t>
  </si>
  <si>
    <t xml:space="preserve">    Quarterly Sampling Cost </t>
  </si>
  <si>
    <t>sample</t>
  </si>
  <si>
    <t>cooler</t>
  </si>
  <si>
    <t>hr</t>
  </si>
  <si>
    <t>kWh</t>
  </si>
  <si>
    <t>Electric Rate</t>
  </si>
  <si>
    <t xml:space="preserve">Analysis ($/sample) </t>
  </si>
  <si>
    <t>Estrada Seep</t>
  </si>
  <si>
    <t>Upper Creek Containment Pond #1</t>
  </si>
  <si>
    <t>Upper Creek Containment Pond #1, Grape Gulch Pond #3, and Blackman's Seep (Pond #2)</t>
  </si>
  <si>
    <t>*Reclaim Pond and North Tailings Decant require no maintenance beyond what is already included in the Earthwork cost estimate for the site as a whole.</t>
  </si>
  <si>
    <t>Direct Cost Subtotals:</t>
  </si>
  <si>
    <t>HDPE lined</t>
  </si>
  <si>
    <t>concrete dam, unlined</t>
  </si>
  <si>
    <t>Utility Pole Installation d.)</t>
  </si>
  <si>
    <t>*Surge tank to bullfrog pipeline is gravity fed and thus pumping costs are not included.</t>
  </si>
  <si>
    <t>Average Combined Operational Pumping Rate
(gpm)</t>
  </si>
  <si>
    <t>Total Cost</t>
  </si>
  <si>
    <t>PUMPS</t>
  </si>
  <si>
    <t>Total Direct Cost</t>
  </si>
  <si>
    <t>Pump Life Expectancy (yr)</t>
  </si>
  <si>
    <t>Q/A</t>
  </si>
  <si>
    <t>Small Concrete Dam Life Expectancy (yr)</t>
  </si>
  <si>
    <t>Age at Reclamation (yr)</t>
  </si>
  <si>
    <t>Small Concrete Dam</t>
  </si>
  <si>
    <t>Lined Pond Life Expectancy (yr)</t>
  </si>
  <si>
    <t>Shipping 
(coolers per sample)</t>
  </si>
  <si>
    <t>Analysis and Shipping Cost ($/sample)</t>
  </si>
  <si>
    <t>Labor (hours/sample)</t>
  </si>
  <si>
    <t>($/sample)</t>
  </si>
  <si>
    <t>Total Cost Years 0-99</t>
  </si>
  <si>
    <t>Subtotal, Indirect Costs</t>
  </si>
  <si>
    <t>Ponds and Tanks</t>
  </si>
  <si>
    <t>Electrical</t>
  </si>
  <si>
    <t>Operations and Maintenance</t>
  </si>
  <si>
    <t>**Removal costs are included in earthwork portion of the cost estimate.</t>
  </si>
  <si>
    <t>Capital Indirect Costs Percentage</t>
  </si>
  <si>
    <t>O&amp;M Indirect Costs Percentage</t>
  </si>
  <si>
    <t>Subtotal</t>
  </si>
  <si>
    <t>Estimated average stormwater runoff, after 12-year vegetation establishment period (Condition 87 CN=62, gal/year/acre)</t>
  </si>
  <si>
    <t>tailings pipeline flushing</t>
  </si>
  <si>
    <t xml:space="preserve">tailings pipeline flushing </t>
  </si>
  <si>
    <t>Age Today 
(yr)</t>
  </si>
  <si>
    <t>Age at Reclamation 
(yr)</t>
  </si>
  <si>
    <t>Operational Kilowatts 
(kW)</t>
  </si>
  <si>
    <t>Average Pumping Rate 
(gal/yr)</t>
  </si>
  <si>
    <t>Line 
(ft)</t>
  </si>
  <si>
    <t>Power 
(HP)</t>
  </si>
  <si>
    <t>Direct Cost Maintenance
($/yr)</t>
  </si>
  <si>
    <t>Direct Cost
Wiring Installation ($)</t>
  </si>
  <si>
    <t>Direct Cost New 
($)</t>
  </si>
  <si>
    <t>Direct Cost
New and Replacement
($/ea)</t>
  </si>
  <si>
    <t>Direct Annual Operational Cost
($/yr)</t>
  </si>
  <si>
    <t>Direct Operational Cost 
($)</t>
  </si>
  <si>
    <t xml:space="preserve">Total </t>
  </si>
  <si>
    <t>Water Management Summary</t>
  </si>
  <si>
    <t>Current Value</t>
  </si>
  <si>
    <t>DIRECT COSTS</t>
  </si>
  <si>
    <t>TOTAL COST</t>
  </si>
  <si>
    <t>Water Management Cash Flow</t>
  </si>
  <si>
    <t>Water Management Cost Estimate</t>
  </si>
  <si>
    <t>Direct Pump Cost New
and Replacement
($/replacement)</t>
  </si>
  <si>
    <t>Water Management Worksheet #1</t>
  </si>
  <si>
    <t>Water Management Worksheet #2</t>
  </si>
  <si>
    <t>Water Management Worksheet #3</t>
  </si>
  <si>
    <t>Water Management Worksheet #4</t>
  </si>
  <si>
    <t>Stormwater Capture Area, Pumped Water only 
(acres)</t>
  </si>
  <si>
    <t>Electrical Wiring Installation c.)</t>
  </si>
  <si>
    <r>
      <rPr>
        <vertAlign val="superscript"/>
        <sz val="10"/>
        <rFont val="Times New Roman"/>
        <family val="1"/>
      </rPr>
      <t>(1)</t>
    </r>
    <r>
      <rPr>
        <sz val="10"/>
        <rFont val="Times New Roman"/>
        <family val="1"/>
      </rPr>
      <t xml:space="preserve"> Sampling vehicles and equipment are assumed to be included in the routine duty for site personnel.</t>
    </r>
  </si>
  <si>
    <t>East WRF Containment</t>
  </si>
  <si>
    <t>Magnetite Seepage Pond</t>
  </si>
  <si>
    <t>Estimated average stormwater runoff non-revegetated (CN=85, gal/year/acre)</t>
  </si>
  <si>
    <t>Surge Tank***</t>
  </si>
  <si>
    <t>Bullfrog pipeline *</t>
  </si>
  <si>
    <t>*Bullfrog pipeline has an Industrial PMLU</t>
  </si>
  <si>
    <t>Post Closure Post Completed Reclamation (Reclamation Year 6 to 12)</t>
  </si>
  <si>
    <t>Post Closure Pre Completed Reclamation
 (Through Reclamation Year 5)</t>
  </si>
  <si>
    <t>Alkalinity Total as CaCO3</t>
  </si>
  <si>
    <t>Sample Prep</t>
  </si>
  <si>
    <t>Anions by Ion Chromatography</t>
  </si>
  <si>
    <t>Chloride</t>
  </si>
  <si>
    <t>Fluoride</t>
  </si>
  <si>
    <t>Sulfate</t>
  </si>
  <si>
    <t>Total Dissolved Solids</t>
  </si>
  <si>
    <t>Nitrogen - Nitrate+Nitrite as N</t>
  </si>
  <si>
    <t>Metals by ICP/ICPMS, total</t>
  </si>
  <si>
    <t>Calcium</t>
  </si>
  <si>
    <t>Magnesium</t>
  </si>
  <si>
    <t>Potassium</t>
  </si>
  <si>
    <t>Sodium</t>
  </si>
  <si>
    <t>Aluminum</t>
  </si>
  <si>
    <t>Arsenic</t>
  </si>
  <si>
    <t>Cadmium</t>
  </si>
  <si>
    <t>Chromium</t>
  </si>
  <si>
    <t>Cobalt</t>
  </si>
  <si>
    <t>Copper</t>
  </si>
  <si>
    <t>Iron</t>
  </si>
  <si>
    <t>Lead</t>
  </si>
  <si>
    <t>Manganese</t>
  </si>
  <si>
    <t>Nickel</t>
  </si>
  <si>
    <t>Selenium</t>
  </si>
  <si>
    <t>Zinc</t>
  </si>
  <si>
    <t>Unit</t>
  </si>
  <si>
    <t>Subtotal,
Direct Costs</t>
  </si>
  <si>
    <t>Selective demolition, utility poles &amp; cross arms, utility poles, wood, 20'-30' high</t>
  </si>
  <si>
    <t>Selective demolition, utility poles &amp; cross arms, cross arms, wood, 4'-6' long</t>
  </si>
  <si>
    <t>Electrical utility pole, wood pole CCA/ACA-treated, 30', class 1, type C, excludes excavation, backfill and cast in place concrete</t>
  </si>
  <si>
    <t>Electrical utility pole, digging holes in rock, average</t>
  </si>
  <si>
    <t>Electrical utility pole, poles, wood, cross arms with hardware &amp; insulators, 4' long, excludes excavation, backfill and cast in place concrete</t>
  </si>
  <si>
    <t>Overhead line conductors &amp; devices, conductors, primary circuits, material handling &amp; spotting</t>
  </si>
  <si>
    <t>Overhead line conductors &amp; devices, conductors, primary circuits, per wire, 210 to 636 kcmil</t>
  </si>
  <si>
    <t>Overhead line conductors &amp; devices, disposal of surplus material, high voltage conductors</t>
  </si>
  <si>
    <t>Station capacitors, potential transformers, 13 to 26 kV</t>
  </si>
  <si>
    <t>Water supply distribution piping, piping HDPE, butt fusion joints, 40' lengths, 4" diameter, SDR 21</t>
  </si>
  <si>
    <t>Water supply distribution piping, piping HDPE, butt fusion joints, 40' lengths, 6" diameter, SDR 21</t>
  </si>
  <si>
    <t>Water supply distribution piping, piping HDPE, butt fusion joints, 40' lengths, 8" diameter, SDR 21</t>
  </si>
  <si>
    <t>Water supply distribution piping, piping HDPE, butt fusion joints, 40' lengths, 10" diameter, SDR 21</t>
  </si>
  <si>
    <t>Water supply distribution piping, piping HDPE, butt fusion joints, 40' lengths, 12" diameter, SDR 21</t>
  </si>
  <si>
    <t>Water supply distribution piping, piping HDPE, butt fusion joints, 40' lengths, 14" diameter, SDR 21</t>
  </si>
  <si>
    <t>Water supply distribution piping, piping HDPE, butt fusion joints, 40' lengths, 16" diameter, SDR 21</t>
  </si>
  <si>
    <r>
      <t>Bullfrog pipeline</t>
    </r>
    <r>
      <rPr>
        <sz val="10"/>
        <color rgb="FFFF0000"/>
        <rFont val="Times New Roman"/>
        <family val="1"/>
      </rPr>
      <t xml:space="preserve"> </t>
    </r>
  </si>
  <si>
    <t>mile</t>
  </si>
  <si>
    <t>wire mile</t>
  </si>
  <si>
    <r>
      <rPr>
        <i/>
        <vertAlign val="superscript"/>
        <sz val="9"/>
        <rFont val="Times New Roman"/>
        <family val="1"/>
      </rPr>
      <t>1</t>
    </r>
    <r>
      <rPr>
        <i/>
        <sz val="9"/>
        <rFont val="Times New Roman"/>
        <family val="1"/>
      </rPr>
      <t>Removal costs for ponds and tanks is included in the earthwork portion of the cost estimate.</t>
    </r>
  </si>
  <si>
    <t xml:space="preserve">Pond and reservoir liners, membrane lining systems HDPE, 100,000 S.F. or more, 60 mil thick, per S.F. </t>
  </si>
  <si>
    <t>Direct Cost 
New and Replacement 
($/ea)</t>
  </si>
  <si>
    <t>Age at Reclamation
(yr)</t>
  </si>
  <si>
    <t>Age Today
(yr)</t>
  </si>
  <si>
    <t>Pond Area 
(acres)</t>
  </si>
  <si>
    <t>Average Seepage through Reclamation year 5
(gal/year)</t>
  </si>
  <si>
    <t>Annual
Electrical Usage
(kWh/yr)</t>
  </si>
  <si>
    <t>Average Pumping Rate
(gal/yr)</t>
  </si>
  <si>
    <t>Direct Cost
New and Replacement
($)</t>
  </si>
  <si>
    <t>Direct Cost
New and Replacement
($/ft)</t>
  </si>
  <si>
    <t xml:space="preserve">Direct Cost
Electrical Panel
($) </t>
  </si>
  <si>
    <t>Direct Cost Transformer
($)</t>
  </si>
  <si>
    <t>Direct Cost
Pole and Crossarm ($)</t>
  </si>
  <si>
    <t>PONDS AND TANKS</t>
  </si>
  <si>
    <t>PUMPS(continued)</t>
  </si>
  <si>
    <t>SAMPLING SCHEDULE AND COST</t>
  </si>
  <si>
    <r>
      <t xml:space="preserve">ENVIRONMENTAL SAMPLING, ANALYSIS AND REPORTING </t>
    </r>
    <r>
      <rPr>
        <b/>
        <vertAlign val="superscript"/>
        <sz val="10"/>
        <rFont val="Times New Roman"/>
        <family val="1"/>
      </rPr>
      <t>(1)</t>
    </r>
  </si>
  <si>
    <t>Indirect Percentage</t>
  </si>
  <si>
    <t>Continental Mine</t>
  </si>
  <si>
    <t>INDIRECT COSTS</t>
  </si>
  <si>
    <t>024113800100</t>
  </si>
  <si>
    <t>024113800300</t>
  </si>
  <si>
    <t>Steel Pipe Schedule 40, black 24'' diameter (RS Means 221113481210) $269.00 (material) + $95.46 (labor); unit cost without coupling and hanger (RS Means 221113481780) is reduced 35% for material and 10% for labor = $174.85 + $85.91</t>
  </si>
  <si>
    <t>221113481210 and 221113481780</t>
  </si>
  <si>
    <t>Electrical utility pole, wood poles disposal of surplus material; base unit rate $90.04/mile scaled to per pole (each) assuming 100 ft power pole spacing/5280 ft/mile</t>
  </si>
  <si>
    <t>Diesel Fuel Cost ($/gal)</t>
  </si>
  <si>
    <t>Excavation of Soil</t>
  </si>
  <si>
    <r>
      <t>G10301201600</t>
    </r>
    <r>
      <rPr>
        <vertAlign val="superscript"/>
        <sz val="10"/>
        <color rgb="FF000000"/>
        <rFont val="Times New Roman"/>
        <family val="1"/>
      </rPr>
      <t xml:space="preserve"> (2)</t>
    </r>
  </si>
  <si>
    <t>Cast-in place retaining walls, reinforced concrete cantilever, 33 degree slope embankment, 10' high, includes excavation, backfill &amp; reinforcing; 250 ft is the assumed length of retaining wall (dam) @ $319.33/lineal ft (RS Means online data)</t>
  </si>
  <si>
    <t xml:space="preserve">Industrial rate data 3/12/2019  (http://www.electricitylocal.com/states/new-mexico/silver-city/) </t>
  </si>
  <si>
    <t>3/4 C.Y. backhoe, three 8 C.Y. dump trucks, 1 mi round trip; unit rate not presented online, therefore use RS Means 2019 Handbook [hardcopy], 33rd edition with unit rate of $8.40/cy x 0.854 [Las Cruces adjustment] = $7.17/cy</t>
  </si>
  <si>
    <t>Unit Cost
($/unit)</t>
  </si>
  <si>
    <r>
      <t>RS Means
Item Number</t>
    </r>
    <r>
      <rPr>
        <b/>
        <vertAlign val="superscript"/>
        <sz val="10"/>
        <color rgb="FF000000"/>
        <rFont val="Times New Roman"/>
        <family val="1"/>
      </rPr>
      <t xml:space="preserve"> (1) </t>
    </r>
  </si>
  <si>
    <t xml:space="preserve">     (1) RS Means Online unit cost includes CCI adjustment for Las Cruces New Mexico - 2019 R.S. Means Online (www.rsmeansonline.com)</t>
  </si>
  <si>
    <t xml:space="preserve">     (2) RS Means hard copy, 33rd ed., 2019 (base rate, CCI adj. 0.854 for Las Cruces)</t>
  </si>
  <si>
    <t>026510300320</t>
  </si>
  <si>
    <t>***Surge Tank is Industrial PMLU and, therefore, is not removed. Surge tank will not need replacement as its condition is suitable for its current use case, with repairs and maintenance continuing as part of O&amp;M.</t>
  </si>
  <si>
    <t>Direct Pump Cost
New and Replacement (O&amp;M)
($)</t>
  </si>
  <si>
    <t>Direct Cost Removal, Included in Pipeline Demo
($)</t>
  </si>
  <si>
    <t>Direct Cost Removal (Demo)
($/ft)</t>
  </si>
  <si>
    <t>Pipeline Demolition
(Flushing and Cover)</t>
  </si>
  <si>
    <t>Direct Cost Maintenance
Over Yrs 0-12 ($/yr)</t>
  </si>
  <si>
    <t>Sludge/water removal at $0.13/ft assuming 18-inch pipe diameter 1/3 full, scaled based on RS Means unit cost to remove sludge/water from 9,000-12,000 (average 10,500) gallon tank at $306.69/each; placement of cover material over pipe at $3.62/ft after sludge/water removal</t>
  </si>
  <si>
    <t>Diesel fuel cost is estimated by correlating historical local quotes with public data, as agreed upon in November 2018 discussions with the agencies</t>
  </si>
  <si>
    <t>Steel water storage tanks, ground level, ht./diam. less than 1,250,000 gallons, excl. foundation</t>
  </si>
  <si>
    <t>Direct Annual Costs ($/yr):</t>
  </si>
  <si>
    <t>First Replacement Year (yr)
[-1 means full replacement not taking place, but rebuilding of pump takes place throughout its operation under O&amp;M]</t>
  </si>
  <si>
    <t>Direct Cost O&amp;M
($)</t>
  </si>
  <si>
    <t>Direct Cost O&amp;M Electricity and Fuel
($)</t>
  </si>
  <si>
    <t>Direct Cost O&amp;M ($)</t>
  </si>
  <si>
    <t>Capital Cost Removal 
($)</t>
  </si>
  <si>
    <t>Capital Cost
Removal (Demo)
($)</t>
  </si>
  <si>
    <t>Capital Cost 
New and Replacement 
($)</t>
  </si>
  <si>
    <t>Ponds</t>
  </si>
  <si>
    <t>Total O&amp;M</t>
  </si>
  <si>
    <t>Water Management and Operations and Maintenance Cost Summary</t>
  </si>
  <si>
    <t>Ponds and Tanks, Pumps, Pipelines, Electrical Infrastructure</t>
  </si>
  <si>
    <t>Cash Flow</t>
  </si>
  <si>
    <t>O&amp;M Cost</t>
  </si>
  <si>
    <t>Water Management Capital</t>
  </si>
  <si>
    <t>Water Management Capital (Ponds)</t>
  </si>
  <si>
    <t>Capital Removal (Pipelines and Electrical Infrastructure)</t>
  </si>
  <si>
    <t>Total Capital</t>
  </si>
  <si>
    <r>
      <t>Capital Removal</t>
    </r>
    <r>
      <rPr>
        <vertAlign val="superscript"/>
        <sz val="10"/>
        <rFont val="Times New Roman"/>
        <family val="1"/>
      </rPr>
      <t>1</t>
    </r>
  </si>
  <si>
    <t>Current Cost</t>
  </si>
  <si>
    <t>Water Management</t>
  </si>
  <si>
    <t>Capital Removal</t>
  </si>
  <si>
    <t>Total Water Management</t>
  </si>
  <si>
    <t>Total</t>
  </si>
  <si>
    <t>Water Management Supporting Calculations</t>
  </si>
  <si>
    <t>Component</t>
  </si>
  <si>
    <t>23 Constituents.  Energy Laboratories, Inc., Quote March 2018-2019 (www.energylab.com)</t>
  </si>
  <si>
    <t>Engineering Judgment</t>
  </si>
  <si>
    <t>Engineering Judgment 800 to 2000 gpm - includes pump control, control panel, installation, and flow meter</t>
  </si>
  <si>
    <t>Engineering Judgment 100 to 700 gpm - includes pump control, control panel, installation, and flow meter</t>
  </si>
  <si>
    <t>Engineering Judgment 50 gpm - includes pump control, control panel, installation, and flow meter</t>
  </si>
  <si>
    <t>Engineering Judgment 15 to 30 gpm - includes pump control, control panel, installation, and flow meter</t>
  </si>
  <si>
    <t>Pump</t>
  </si>
  <si>
    <t>Electric Panel Cost</t>
  </si>
  <si>
    <t>Environmental Sampler</t>
  </si>
  <si>
    <t>Environmental Sampling Reviewer</t>
  </si>
  <si>
    <t>Shipping Environmental Sampling</t>
  </si>
  <si>
    <t>Original CCP Year (2014)</t>
  </si>
  <si>
    <t>Head on Pump
(ft)</t>
  </si>
  <si>
    <t>Removal Year
(After Closure) (yr)</t>
  </si>
  <si>
    <t>Closure</t>
  </si>
  <si>
    <t>Year 0</t>
  </si>
  <si>
    <t>Original Reclamation Start Year (2020) ["0" refers to the beginning of the first year]</t>
  </si>
  <si>
    <t>Reclamation Finished</t>
  </si>
  <si>
    <t>Vegetation Established Assume Stormwater Released</t>
  </si>
  <si>
    <t>Removal Year**
(yr)</t>
  </si>
  <si>
    <t>First
Replacement Year
(yr)</t>
  </si>
  <si>
    <t>Removal Year          (yr)</t>
  </si>
  <si>
    <t>Overnight UPS $400 (2019 rate) for a 10 lb. package 30”x18”x18” Silver City, NM to Casper, WY  Energy Labs</t>
  </si>
  <si>
    <t>Water Mgmt Capital</t>
  </si>
  <si>
    <t>Electricity and Fuel (Pump Operation)</t>
  </si>
  <si>
    <t>Electricity and Fuel (Pump Operation), Environmental Sampling</t>
  </si>
  <si>
    <t>Direct Cost O&amp;M Ponds
($)</t>
  </si>
  <si>
    <t>Direct Cost Maintenance Ponds ($/yr)</t>
  </si>
  <si>
    <t>Note: Indirect costs are based on 2019 agreement between FMI and the agencies (see Appendix D), and include but are not limited to mobilization and demobilization, engineering redesign fee, contingencies, contractor profit and overhead, project management fee, and state procurement cost.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</si>
</sst>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5" formatCode="&quot;$&quot;#,##0_);\(&quot;$&quot;#,##0\)"/>
    <numFmt numFmtId="42" formatCode="_(&quot;$&quot;* #,##0_);_(&quot;$&quot;* \(#,##0\);_(&quot;$&quot;* &quot;-&quot;_);_(@_)"/>
    <numFmt numFmtId="44" formatCode="_(&quot;$&quot;* #,##0.00_);_(&quot;$&quot;* \(#,##0.00\);_(&quot;$&quot;* &quot;-&quot;??_);_(@_)"/>
    <numFmt numFmtId="164" formatCode="_(&quot;$&quot;* #,##0_);_(&quot;$&quot;* \(#,##0\);_(&quot;$&quot;* &quot;-&quot;??_);_(@_)"/>
    <numFmt numFmtId="165" formatCode="0.0"/>
    <numFmt numFmtId="166" formatCode="#,##0.0"/>
    <numFmt numFmtId="167" formatCode="&quot;$&quot;#,##0"/>
    <numFmt numFmtId="168" formatCode="&quot;$&quot;#,##0.00"/>
    <numFmt numFmtId="169" formatCode="m/d/yy"/>
    <numFmt numFmtId="170" formatCode="0.0%"/>
    <numFmt numFmtId="171" formatCode="#,##0.0_);\(#,##0.0\)"/>
    <numFmt numFmtId="172" formatCode="#,##0.000"/>
    <numFmt numFmtId="173" formatCode="&quot;$&quot;#,##0.000"/>
    <numFmt numFmtId="174" formatCode="&quot;$&quot;#,##0.0000"/>
    <numFmt numFmtId="175" formatCode="m/d/yy;@"/>
  </numFmts>
  <fonts count="41" x14ac:knownFonts="1">
    <font>
      <sz val="12"/>
      <name val="Times New Roman"/>
    </font>
    <font>
      <sz val="11"/>
      <color theme="1"/>
      <name val="Calibri"/>
      <family val="2"/>
      <scheme val="minor"/>
    </font>
    <font>
      <sz val="11"/>
      <color theme="1"/>
      <name val="Calibri"/>
      <family val="2"/>
      <scheme val="minor"/>
    </font>
    <font>
      <sz val="12"/>
      <name val="Times New Roman"/>
      <family val="1"/>
    </font>
    <font>
      <b/>
      <sz val="12"/>
      <name val="Times New Roman"/>
      <family val="1"/>
    </font>
    <font>
      <sz val="10"/>
      <name val="Arial"/>
      <family val="2"/>
    </font>
    <font>
      <sz val="10"/>
      <name val="Times New Roman"/>
      <family val="1"/>
    </font>
    <font>
      <b/>
      <sz val="10"/>
      <name val="Times New Roman"/>
      <family val="1"/>
    </font>
    <font>
      <sz val="8"/>
      <name val="Times New Roman"/>
      <family val="1"/>
    </font>
    <font>
      <sz val="12"/>
      <name val="Arial"/>
      <family val="2"/>
    </font>
    <font>
      <sz val="11"/>
      <color indexed="8"/>
      <name val="Calibri"/>
      <family val="2"/>
    </font>
    <font>
      <b/>
      <sz val="10"/>
      <name val="Arial"/>
      <family val="2"/>
    </font>
    <font>
      <sz val="8"/>
      <name val="Times New Roman"/>
      <family val="1"/>
    </font>
    <font>
      <sz val="8"/>
      <name val="Calibri"/>
      <family val="2"/>
    </font>
    <font>
      <sz val="10"/>
      <name val="Arial"/>
      <family val="2"/>
    </font>
    <font>
      <vertAlign val="superscript"/>
      <sz val="10"/>
      <name val="Times New Roman"/>
      <family val="1"/>
    </font>
    <font>
      <sz val="12"/>
      <name val="Times New Roman"/>
      <family val="1"/>
    </font>
    <font>
      <sz val="8"/>
      <name val="Times New Roman"/>
      <family val="1"/>
    </font>
    <font>
      <sz val="10"/>
      <color rgb="FFFF0000"/>
      <name val="Arial"/>
      <family val="2"/>
    </font>
    <font>
      <b/>
      <vertAlign val="superscript"/>
      <sz val="10"/>
      <name val="Times New Roman"/>
      <family val="1"/>
    </font>
    <font>
      <sz val="12"/>
      <name val="Times New Roman"/>
      <family val="1"/>
    </font>
    <font>
      <u/>
      <sz val="11"/>
      <color theme="10"/>
      <name val="Calibri"/>
      <family val="2"/>
      <scheme val="minor"/>
    </font>
    <font>
      <sz val="10"/>
      <color rgb="FFFF0000"/>
      <name val="Times New Roman"/>
      <family val="1"/>
    </font>
    <font>
      <b/>
      <i/>
      <sz val="12"/>
      <name val="Times New Roman"/>
      <family val="1"/>
    </font>
    <font>
      <sz val="10"/>
      <color theme="1"/>
      <name val="Times New Roman"/>
      <family val="1"/>
    </font>
    <font>
      <i/>
      <sz val="10"/>
      <name val="Times New Roman"/>
      <family val="1"/>
    </font>
    <font>
      <b/>
      <i/>
      <sz val="10"/>
      <name val="Times New Roman"/>
      <family val="1"/>
    </font>
    <font>
      <sz val="10"/>
      <color indexed="8"/>
      <name val="Times New Roman"/>
      <family val="1"/>
    </font>
    <font>
      <b/>
      <sz val="10"/>
      <color indexed="8"/>
      <name val="Times New Roman"/>
      <family val="1"/>
    </font>
    <font>
      <b/>
      <vertAlign val="superscript"/>
      <sz val="10"/>
      <color rgb="FF000000"/>
      <name val="Times New Roman"/>
      <family val="1"/>
    </font>
    <font>
      <sz val="10"/>
      <color rgb="FF000000"/>
      <name val="Times New Roman"/>
      <family val="1"/>
    </font>
    <font>
      <i/>
      <sz val="9"/>
      <name val="Times New Roman"/>
      <family val="1"/>
    </font>
    <font>
      <i/>
      <vertAlign val="superscript"/>
      <sz val="9"/>
      <name val="Times New Roman"/>
      <family val="1"/>
    </font>
    <font>
      <u/>
      <sz val="10"/>
      <name val="Times New Roman"/>
      <family val="1"/>
    </font>
    <font>
      <vertAlign val="superscript"/>
      <sz val="10"/>
      <color rgb="FF000000"/>
      <name val="Times New Roman"/>
      <family val="1"/>
    </font>
    <font>
      <i/>
      <sz val="10"/>
      <color indexed="8"/>
      <name val="Times New Roman"/>
      <family val="1"/>
    </font>
    <font>
      <sz val="9"/>
      <color indexed="8"/>
      <name val="Times New Roman"/>
      <family val="1"/>
    </font>
    <font>
      <sz val="9"/>
      <name val="Times New Roman"/>
      <family val="1"/>
    </font>
    <font>
      <b/>
      <sz val="11"/>
      <color theme="1"/>
      <name val="Calibri"/>
      <family val="2"/>
      <scheme val="minor"/>
    </font>
    <font>
      <sz val="11"/>
      <name val="Calibri"/>
      <family val="2"/>
      <scheme val="minor"/>
    </font>
    <font>
      <b/>
      <sz val="10"/>
      <color theme="1"/>
      <name val="Times New Roman"/>
      <family val="1"/>
    </font>
  </fonts>
  <fills count="3">
    <fill>
      <patternFill patternType="none"/>
    </fill>
    <fill>
      <patternFill patternType="gray125"/>
    </fill>
    <fill>
      <patternFill patternType="solid">
        <fgColor indexed="9"/>
        <bgColor indexed="64"/>
      </patternFill>
    </fill>
  </fills>
  <borders count="84">
    <border>
      <left/>
      <right/>
      <top/>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thin">
        <color indexed="64"/>
      </left>
      <right/>
      <top/>
      <bottom/>
      <diagonal/>
    </border>
    <border>
      <left style="thin">
        <color indexed="64"/>
      </left>
      <right style="thin">
        <color indexed="64"/>
      </right>
      <top style="thin">
        <color indexed="64"/>
      </top>
      <bottom/>
      <diagonal/>
    </border>
    <border>
      <left/>
      <right style="thin">
        <color indexed="64"/>
      </right>
      <top/>
      <bottom/>
      <diagonal/>
    </border>
    <border>
      <left/>
      <right style="medium">
        <color indexed="64"/>
      </right>
      <top/>
      <bottom/>
      <diagonal/>
    </border>
    <border>
      <left style="medium">
        <color indexed="64"/>
      </left>
      <right/>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right/>
      <top/>
      <bottom style="medium">
        <color indexed="64"/>
      </bottom>
      <diagonal/>
    </border>
    <border>
      <left style="medium">
        <color indexed="64"/>
      </left>
      <right/>
      <top style="medium">
        <color indexed="64"/>
      </top>
      <bottom style="thin">
        <color indexed="8"/>
      </bottom>
      <diagonal/>
    </border>
    <border>
      <left style="thin">
        <color indexed="64"/>
      </left>
      <right/>
      <top style="medium">
        <color indexed="64"/>
      </top>
      <bottom style="thin">
        <color indexed="8"/>
      </bottom>
      <diagonal/>
    </border>
    <border>
      <left style="medium">
        <color indexed="64"/>
      </left>
      <right style="medium">
        <color indexed="64"/>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double">
        <color indexed="64"/>
      </left>
      <right style="thin">
        <color indexed="64"/>
      </right>
      <top/>
      <bottom style="thin">
        <color indexed="64"/>
      </bottom>
      <diagonal/>
    </border>
    <border>
      <left style="thin">
        <color indexed="64"/>
      </left>
      <right style="double">
        <color indexed="64"/>
      </right>
      <top/>
      <bottom style="thin">
        <color indexed="64"/>
      </bottom>
      <diagonal/>
    </border>
    <border>
      <left style="double">
        <color indexed="64"/>
      </left>
      <right style="thin">
        <color indexed="64"/>
      </right>
      <top style="double">
        <color indexed="64"/>
      </top>
      <bottom/>
      <diagonal/>
    </border>
    <border>
      <left style="thin">
        <color indexed="64"/>
      </left>
      <right style="thin">
        <color indexed="64"/>
      </right>
      <top style="double">
        <color indexed="64"/>
      </top>
      <bottom/>
      <diagonal/>
    </border>
    <border>
      <left style="thin">
        <color indexed="64"/>
      </left>
      <right style="double">
        <color indexed="64"/>
      </right>
      <top style="double">
        <color indexed="64"/>
      </top>
      <bottom/>
      <diagonal/>
    </border>
    <border>
      <left style="double">
        <color indexed="64"/>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style="double">
        <color indexed="64"/>
      </right>
      <top/>
      <bottom style="double">
        <color indexed="64"/>
      </bottom>
      <diagonal/>
    </border>
    <border>
      <left style="double">
        <color indexed="64"/>
      </left>
      <right style="thin">
        <color indexed="64"/>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double">
        <color indexed="64"/>
      </right>
      <top style="double">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8"/>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double">
        <color indexed="64"/>
      </right>
      <top style="thin">
        <color indexed="64"/>
      </top>
      <bottom/>
      <diagonal/>
    </border>
    <border>
      <left style="thin">
        <color indexed="64"/>
      </left>
      <right style="thin">
        <color indexed="64"/>
      </right>
      <top style="double">
        <color indexed="64"/>
      </top>
      <bottom style="double">
        <color indexed="64"/>
      </bottom>
      <diagonal/>
    </border>
    <border>
      <left style="double">
        <color indexed="64"/>
      </left>
      <right style="thin">
        <color indexed="64"/>
      </right>
      <top/>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medium">
        <color auto="1"/>
      </left>
      <right/>
      <top/>
      <bottom style="medium">
        <color auto="1"/>
      </bottom>
      <diagonal/>
    </border>
    <border>
      <left/>
      <right style="medium">
        <color auto="1"/>
      </right>
      <top/>
      <bottom style="medium">
        <color auto="1"/>
      </bottom>
      <diagonal/>
    </border>
    <border>
      <left/>
      <right style="medium">
        <color auto="1"/>
      </right>
      <top style="medium">
        <color auto="1"/>
      </top>
      <bottom style="thin">
        <color indexed="64"/>
      </bottom>
      <diagonal/>
    </border>
    <border>
      <left/>
      <right/>
      <top style="double">
        <color indexed="64"/>
      </top>
      <bottom style="double">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double">
        <color indexed="64"/>
      </left>
      <right/>
      <top style="thin">
        <color indexed="64"/>
      </top>
      <bottom style="thin">
        <color indexed="64"/>
      </bottom>
      <diagonal/>
    </border>
    <border>
      <left style="double">
        <color indexed="64"/>
      </left>
      <right/>
      <top style="thin">
        <color indexed="64"/>
      </top>
      <bottom style="double">
        <color indexed="64"/>
      </bottom>
      <diagonal/>
    </border>
    <border>
      <left style="double">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medium">
        <color indexed="64"/>
      </left>
      <right/>
      <top style="thin">
        <color indexed="64"/>
      </top>
      <bottom/>
      <diagonal/>
    </border>
    <border>
      <left/>
      <right/>
      <top style="thin">
        <color indexed="64"/>
      </top>
      <bottom/>
      <diagonal/>
    </border>
    <border>
      <left style="thin">
        <color indexed="64"/>
      </left>
      <right/>
      <top/>
      <bottom style="double">
        <color indexed="64"/>
      </bottom>
      <diagonal/>
    </border>
    <border>
      <left/>
      <right/>
      <top/>
      <bottom style="double">
        <color indexed="64"/>
      </bottom>
      <diagonal/>
    </border>
    <border>
      <left style="double">
        <color indexed="64"/>
      </left>
      <right style="thin">
        <color indexed="64"/>
      </right>
      <top style="double">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double">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double">
        <color indexed="64"/>
      </right>
      <top style="thin">
        <color indexed="64"/>
      </top>
      <bottom style="medium">
        <color indexed="64"/>
      </bottom>
      <diagonal/>
    </border>
    <border>
      <left style="double">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double">
        <color indexed="64"/>
      </right>
      <top style="medium">
        <color indexed="64"/>
      </top>
      <bottom style="thin">
        <color indexed="64"/>
      </bottom>
      <diagonal/>
    </border>
  </borders>
  <cellStyleXfs count="13">
    <xf numFmtId="0" fontId="0" fillId="0" borderId="0"/>
    <xf numFmtId="44" fontId="3" fillId="0" borderId="0" applyFont="0" applyFill="0" applyBorder="0" applyAlignment="0" applyProtection="0"/>
    <xf numFmtId="44" fontId="5" fillId="0" borderId="0" applyFont="0" applyFill="0" applyBorder="0" applyAlignment="0" applyProtection="0"/>
    <xf numFmtId="44" fontId="16" fillId="0" borderId="0" applyFont="0" applyFill="0" applyBorder="0" applyAlignment="0" applyProtection="0"/>
    <xf numFmtId="0" fontId="5" fillId="0" borderId="0"/>
    <xf numFmtId="0" fontId="14" fillId="0" borderId="0"/>
    <xf numFmtId="0" fontId="10" fillId="0" borderId="0"/>
    <xf numFmtId="0" fontId="5" fillId="0" borderId="0"/>
    <xf numFmtId="9" fontId="20" fillId="0" borderId="0" applyFont="0" applyFill="0" applyBorder="0" applyAlignment="0" applyProtection="0"/>
    <xf numFmtId="0" fontId="9" fillId="0" borderId="0" applyProtection="0"/>
    <xf numFmtId="0" fontId="9" fillId="0" borderId="0" applyProtection="0"/>
    <xf numFmtId="0" fontId="21" fillId="0" borderId="0" applyNumberFormat="0" applyFill="0" applyBorder="0" applyAlignment="0" applyProtection="0"/>
    <xf numFmtId="0" fontId="2" fillId="0" borderId="0"/>
  </cellStyleXfs>
  <cellXfs count="434">
    <xf numFmtId="0" fontId="0" fillId="0" borderId="0" xfId="0"/>
    <xf numFmtId="0" fontId="5" fillId="0" borderId="0" xfId="4"/>
    <xf numFmtId="0" fontId="5" fillId="0" borderId="0" xfId="4" applyAlignment="1">
      <alignment horizontal="center"/>
    </xf>
    <xf numFmtId="0" fontId="3" fillId="0" borderId="0" xfId="0" applyFont="1"/>
    <xf numFmtId="0" fontId="14" fillId="0" borderId="0" xfId="5"/>
    <xf numFmtId="0" fontId="14" fillId="0" borderId="0" xfId="5" applyBorder="1"/>
    <xf numFmtId="3" fontId="6" fillId="0" borderId="18" xfId="0" applyNumberFormat="1" applyFont="1" applyBorder="1" applyAlignment="1">
      <alignment horizontal="center"/>
    </xf>
    <xf numFmtId="39" fontId="6" fillId="0" borderId="5" xfId="5" applyNumberFormat="1" applyFont="1" applyBorder="1" applyAlignment="1">
      <alignment horizontal="center"/>
    </xf>
    <xf numFmtId="42" fontId="6" fillId="0" borderId="6" xfId="5" applyNumberFormat="1" applyFont="1" applyBorder="1"/>
    <xf numFmtId="164" fontId="14" fillId="0" borderId="0" xfId="3" applyNumberFormat="1" applyFont="1"/>
    <xf numFmtId="0" fontId="5" fillId="0" borderId="0" xfId="4" applyNumberFormat="1" applyAlignment="1">
      <alignment horizontal="center"/>
    </xf>
    <xf numFmtId="44" fontId="14" fillId="0" borderId="0" xfId="5" applyNumberFormat="1"/>
    <xf numFmtId="0" fontId="6" fillId="0" borderId="0" xfId="5" applyNumberFormat="1" applyFont="1" applyBorder="1" applyAlignment="1">
      <alignment horizontal="center" vertical="center" wrapText="1"/>
    </xf>
    <xf numFmtId="165" fontId="6" fillId="0" borderId="0" xfId="5" applyNumberFormat="1" applyFont="1" applyFill="1" applyBorder="1" applyAlignment="1">
      <alignment horizontal="right"/>
    </xf>
    <xf numFmtId="5" fontId="6" fillId="0" borderId="0" xfId="5" applyNumberFormat="1" applyFont="1" applyFill="1" applyBorder="1" applyAlignment="1">
      <alignment horizontal="right"/>
    </xf>
    <xf numFmtId="39" fontId="6" fillId="0" borderId="0" xfId="5" applyNumberFormat="1" applyFont="1" applyFill="1" applyBorder="1" applyAlignment="1">
      <alignment horizontal="right"/>
    </xf>
    <xf numFmtId="0" fontId="18" fillId="0" borderId="0" xfId="5" applyFont="1" applyFill="1"/>
    <xf numFmtId="0" fontId="5" fillId="0" borderId="0" xfId="5" applyFont="1" applyFill="1"/>
    <xf numFmtId="0" fontId="14" fillId="0" borderId="0" xfId="5" applyFill="1"/>
    <xf numFmtId="0" fontId="15" fillId="0" borderId="0" xfId="5" quotePrefix="1" applyFont="1" applyBorder="1"/>
    <xf numFmtId="42" fontId="4" fillId="0" borderId="0" xfId="5" applyNumberFormat="1" applyFont="1" applyBorder="1"/>
    <xf numFmtId="42" fontId="14" fillId="0" borderId="0" xfId="5" applyNumberFormat="1" applyBorder="1"/>
    <xf numFmtId="42" fontId="6" fillId="0" borderId="6" xfId="5" applyNumberFormat="1" applyFont="1" applyFill="1" applyBorder="1"/>
    <xf numFmtId="0" fontId="6" fillId="0" borderId="44" xfId="5" applyNumberFormat="1" applyFont="1" applyBorder="1" applyAlignment="1">
      <alignment horizontal="center" wrapText="1"/>
    </xf>
    <xf numFmtId="0" fontId="6" fillId="0" borderId="5" xfId="5" applyNumberFormat="1" applyFont="1" applyBorder="1" applyAlignment="1">
      <alignment horizontal="center"/>
    </xf>
    <xf numFmtId="42" fontId="6" fillId="0" borderId="9" xfId="5" applyNumberFormat="1" applyFont="1" applyBorder="1"/>
    <xf numFmtId="165" fontId="6" fillId="0" borderId="20" xfId="5" applyNumberFormat="1" applyFont="1" applyBorder="1"/>
    <xf numFmtId="165" fontId="6" fillId="0" borderId="19" xfId="5" applyNumberFormat="1" applyFont="1" applyBorder="1"/>
    <xf numFmtId="42" fontId="6" fillId="0" borderId="19" xfId="5" applyNumberFormat="1" applyFont="1" applyBorder="1"/>
    <xf numFmtId="171" fontId="6" fillId="0" borderId="19" xfId="5" applyNumberFormat="1" applyFont="1" applyBorder="1"/>
    <xf numFmtId="42" fontId="6" fillId="0" borderId="46" xfId="5" applyNumberFormat="1" applyFont="1" applyBorder="1"/>
    <xf numFmtId="0" fontId="6" fillId="0" borderId="12" xfId="5" applyNumberFormat="1" applyFont="1" applyBorder="1" applyAlignment="1">
      <alignment horizontal="center" vertical="center" wrapText="1"/>
    </xf>
    <xf numFmtId="0" fontId="6" fillId="0" borderId="47" xfId="5" applyNumberFormat="1" applyFont="1" applyBorder="1" applyAlignment="1">
      <alignment horizontal="center" vertical="center" wrapText="1"/>
    </xf>
    <xf numFmtId="0" fontId="6" fillId="0" borderId="0" xfId="5" applyFont="1"/>
    <xf numFmtId="0" fontId="6" fillId="0" borderId="15" xfId="5" applyFont="1" applyBorder="1" applyAlignment="1">
      <alignment horizontal="centerContinuous"/>
    </xf>
    <xf numFmtId="0" fontId="6" fillId="0" borderId="9" xfId="5" applyFont="1" applyBorder="1"/>
    <xf numFmtId="0" fontId="6" fillId="0" borderId="3" xfId="5" applyFont="1" applyBorder="1"/>
    <xf numFmtId="0" fontId="7" fillId="0" borderId="0" xfId="4" applyFont="1"/>
    <xf numFmtId="0" fontId="6" fillId="0" borderId="0" xfId="4" applyFont="1"/>
    <xf numFmtId="0" fontId="6" fillId="0" borderId="2" xfId="4" applyFont="1" applyBorder="1" applyAlignment="1">
      <alignment horizontal="center"/>
    </xf>
    <xf numFmtId="0" fontId="6" fillId="0" borderId="3" xfId="4" applyFont="1" applyBorder="1" applyAlignment="1">
      <alignment horizontal="center"/>
    </xf>
    <xf numFmtId="0" fontId="6" fillId="0" borderId="4" xfId="4" applyFont="1" applyBorder="1" applyAlignment="1">
      <alignment horizontal="center"/>
    </xf>
    <xf numFmtId="0" fontId="6" fillId="0" borderId="5" xfId="4" applyFont="1" applyBorder="1" applyAlignment="1">
      <alignment horizontal="center"/>
    </xf>
    <xf numFmtId="0" fontId="6" fillId="0" borderId="6" xfId="4" applyFont="1" applyBorder="1" applyAlignment="1">
      <alignment horizontal="center"/>
    </xf>
    <xf numFmtId="0" fontId="6" fillId="0" borderId="7" xfId="4" applyFont="1" applyBorder="1" applyAlignment="1">
      <alignment horizontal="center"/>
    </xf>
    <xf numFmtId="0" fontId="6" fillId="0" borderId="8" xfId="4" applyFont="1" applyBorder="1" applyAlignment="1">
      <alignment horizontal="center"/>
    </xf>
    <xf numFmtId="0" fontId="6" fillId="0" borderId="0" xfId="4" applyFont="1" applyBorder="1" applyAlignment="1">
      <alignment horizontal="center"/>
    </xf>
    <xf numFmtId="0" fontId="6" fillId="0" borderId="9" xfId="4" applyFont="1" applyBorder="1" applyAlignment="1">
      <alignment horizontal="center"/>
    </xf>
    <xf numFmtId="0" fontId="6" fillId="0" borderId="11" xfId="4" applyFont="1" applyBorder="1" applyAlignment="1">
      <alignment horizontal="center"/>
    </xf>
    <xf numFmtId="0" fontId="6" fillId="0" borderId="12" xfId="4" applyFont="1" applyBorder="1" applyAlignment="1">
      <alignment horizontal="center"/>
    </xf>
    <xf numFmtId="0" fontId="6" fillId="0" borderId="13" xfId="4" applyFont="1" applyBorder="1" applyAlignment="1">
      <alignment horizontal="center"/>
    </xf>
    <xf numFmtId="0" fontId="6" fillId="0" borderId="1" xfId="4" applyFont="1" applyBorder="1" applyAlignment="1">
      <alignment horizontal="center"/>
    </xf>
    <xf numFmtId="2" fontId="6" fillId="0" borderId="5" xfId="4" applyNumberFormat="1" applyFont="1" applyFill="1" applyBorder="1" applyAlignment="1">
      <alignment horizontal="center"/>
    </xf>
    <xf numFmtId="164" fontId="6" fillId="0" borderId="0" xfId="1" applyNumberFormat="1" applyFont="1"/>
    <xf numFmtId="164" fontId="6" fillId="0" borderId="9" xfId="4" applyNumberFormat="1" applyFont="1" applyBorder="1" applyAlignment="1">
      <alignment horizontal="center"/>
    </xf>
    <xf numFmtId="0" fontId="6" fillId="0" borderId="41" xfId="4" applyFont="1" applyBorder="1"/>
    <xf numFmtId="0" fontId="6" fillId="0" borderId="41" xfId="4" applyFont="1" applyBorder="1" applyAlignment="1">
      <alignment horizontal="center"/>
    </xf>
    <xf numFmtId="0" fontId="7" fillId="0" borderId="15" xfId="5" applyFont="1" applyBorder="1" applyAlignment="1">
      <alignment horizontal="centerContinuous"/>
    </xf>
    <xf numFmtId="42" fontId="7" fillId="0" borderId="3" xfId="5" applyNumberFormat="1" applyFont="1" applyBorder="1"/>
    <xf numFmtId="0" fontId="6" fillId="0" borderId="0" xfId="5" applyFont="1" applyBorder="1"/>
    <xf numFmtId="42" fontId="7" fillId="0" borderId="0" xfId="5" applyNumberFormat="1" applyFont="1" applyBorder="1"/>
    <xf numFmtId="0" fontId="6" fillId="0" borderId="10" xfId="4" applyFont="1" applyBorder="1" applyAlignment="1">
      <alignment horizontal="center"/>
    </xf>
    <xf numFmtId="0" fontId="6" fillId="0" borderId="48" xfId="4" applyFont="1" applyBorder="1" applyAlignment="1">
      <alignment horizontal="center"/>
    </xf>
    <xf numFmtId="0" fontId="7" fillId="0" borderId="41" xfId="4" applyFont="1" applyBorder="1" applyAlignment="1">
      <alignment horizontal="right"/>
    </xf>
    <xf numFmtId="164" fontId="7" fillId="0" borderId="42" xfId="4" applyNumberFormat="1" applyFont="1" applyBorder="1" applyAlignment="1">
      <alignment horizontal="center"/>
    </xf>
    <xf numFmtId="0" fontId="7" fillId="0" borderId="0" xfId="5" applyFont="1" applyBorder="1" applyAlignment="1">
      <alignment horizontal="centerContinuous"/>
    </xf>
    <xf numFmtId="0" fontId="6" fillId="0" borderId="0" xfId="5" applyFont="1" applyBorder="1" applyAlignment="1">
      <alignment horizontal="centerContinuous"/>
    </xf>
    <xf numFmtId="0" fontId="7" fillId="0" borderId="15" xfId="5" applyFont="1" applyBorder="1" applyAlignment="1">
      <alignment horizontal="left"/>
    </xf>
    <xf numFmtId="170" fontId="7" fillId="0" borderId="49" xfId="8" applyNumberFormat="1" applyFont="1" applyFill="1" applyBorder="1" applyAlignment="1">
      <alignment horizontal="center" vertical="center"/>
    </xf>
    <xf numFmtId="0" fontId="6" fillId="0" borderId="16" xfId="5" applyNumberFormat="1" applyFont="1" applyBorder="1" applyAlignment="1">
      <alignment horizontal="center" vertical="center" wrapText="1"/>
    </xf>
    <xf numFmtId="0" fontId="6" fillId="0" borderId="17" xfId="5" applyNumberFormat="1" applyFont="1" applyBorder="1" applyAlignment="1">
      <alignment horizontal="center" vertical="center" wrapText="1"/>
    </xf>
    <xf numFmtId="0" fontId="6" fillId="0" borderId="21" xfId="5" applyNumberFormat="1" applyFont="1" applyBorder="1" applyAlignment="1">
      <alignment horizontal="center" vertical="center" wrapText="1"/>
    </xf>
    <xf numFmtId="0" fontId="6" fillId="0" borderId="45" xfId="5" applyNumberFormat="1" applyFont="1" applyBorder="1" applyAlignment="1">
      <alignment horizontal="center" vertical="center" wrapText="1"/>
    </xf>
    <xf numFmtId="0" fontId="5" fillId="0" borderId="14" xfId="4" applyBorder="1" applyAlignment="1">
      <alignment horizontal="center"/>
    </xf>
    <xf numFmtId="0" fontId="5" fillId="0" borderId="0" xfId="0" applyFont="1" applyFill="1" applyBorder="1" applyAlignment="1">
      <alignment horizontal="right"/>
    </xf>
    <xf numFmtId="0" fontId="6" fillId="0" borderId="0" xfId="5" applyFont="1" applyAlignment="1">
      <alignment horizontal="right"/>
    </xf>
    <xf numFmtId="0" fontId="11" fillId="0" borderId="0" xfId="0" applyFont="1"/>
    <xf numFmtId="0" fontId="5" fillId="0" borderId="0" xfId="5" applyFont="1"/>
    <xf numFmtId="0" fontId="5" fillId="0" borderId="1" xfId="5" applyFont="1" applyBorder="1"/>
    <xf numFmtId="44" fontId="14" fillId="0" borderId="0" xfId="1" applyFont="1"/>
    <xf numFmtId="0" fontId="5" fillId="0" borderId="0" xfId="5" applyFont="1" applyBorder="1"/>
    <xf numFmtId="44" fontId="14" fillId="0" borderId="1" xfId="1" applyFont="1" applyBorder="1"/>
    <xf numFmtId="0" fontId="5" fillId="0" borderId="0" xfId="5" applyFont="1" applyBorder="1" applyAlignment="1">
      <alignment horizontal="right"/>
    </xf>
    <xf numFmtId="0" fontId="5" fillId="0" borderId="0" xfId="5" applyFont="1" applyAlignment="1">
      <alignment horizontal="right"/>
    </xf>
    <xf numFmtId="44" fontId="14" fillId="0" borderId="0" xfId="1" applyFont="1" applyBorder="1"/>
    <xf numFmtId="0" fontId="3" fillId="0" borderId="0" xfId="7" applyFont="1" applyFill="1" applyBorder="1"/>
    <xf numFmtId="0" fontId="6" fillId="0" borderId="0" xfId="7" applyFont="1" applyFill="1" applyBorder="1"/>
    <xf numFmtId="0" fontId="6" fillId="0" borderId="0" xfId="7" applyFont="1" applyFill="1"/>
    <xf numFmtId="0" fontId="6" fillId="0" borderId="0" xfId="7" applyFont="1" applyFill="1" applyBorder="1" applyAlignment="1">
      <alignment horizontal="right"/>
    </xf>
    <xf numFmtId="0" fontId="6" fillId="0" borderId="0" xfId="7" applyFont="1" applyFill="1" applyAlignment="1">
      <alignment horizontal="right"/>
    </xf>
    <xf numFmtId="0" fontId="7" fillId="0" borderId="0" xfId="0" applyFont="1"/>
    <xf numFmtId="3" fontId="6" fillId="0" borderId="0" xfId="7" applyNumberFormat="1" applyFont="1" applyFill="1"/>
    <xf numFmtId="0" fontId="6" fillId="0" borderId="0" xfId="0" applyFont="1" applyFill="1" applyBorder="1" applyAlignment="1">
      <alignment horizontal="right"/>
    </xf>
    <xf numFmtId="0" fontId="23" fillId="0" borderId="0" xfId="7" applyFont="1" applyFill="1" applyBorder="1"/>
    <xf numFmtId="169" fontId="6" fillId="0" borderId="0" xfId="7" applyNumberFormat="1" applyFont="1" applyFill="1" applyBorder="1" applyAlignment="1">
      <alignment horizontal="right"/>
    </xf>
    <xf numFmtId="14" fontId="6" fillId="0" borderId="0" xfId="7" applyNumberFormat="1" applyFont="1" applyFill="1" applyAlignment="1">
      <alignment horizontal="right"/>
    </xf>
    <xf numFmtId="170" fontId="6" fillId="0" borderId="0" xfId="7" applyNumberFormat="1" applyFont="1" applyFill="1" applyBorder="1"/>
    <xf numFmtId="9" fontId="6" fillId="0" borderId="0" xfId="7" applyNumberFormat="1" applyFont="1" applyFill="1" applyBorder="1"/>
    <xf numFmtId="0" fontId="6" fillId="0" borderId="0" xfId="7" quotePrefix="1" applyFont="1" applyFill="1" applyBorder="1"/>
    <xf numFmtId="0" fontId="6" fillId="0" borderId="0" xfId="7" applyFont="1" applyFill="1" applyBorder="1" applyAlignment="1">
      <alignment horizontal="center"/>
    </xf>
    <xf numFmtId="4" fontId="6" fillId="0" borderId="0" xfId="7" applyNumberFormat="1" applyFont="1" applyFill="1" applyBorder="1" applyAlignment="1" applyProtection="1">
      <alignment horizontal="center"/>
    </xf>
    <xf numFmtId="0" fontId="6" fillId="0" borderId="0" xfId="7" quotePrefix="1" applyFont="1" applyFill="1" applyBorder="1" applyAlignment="1">
      <alignment horizontal="center"/>
    </xf>
    <xf numFmtId="168" fontId="6" fillId="0" borderId="0" xfId="7" applyNumberFormat="1" applyFont="1" applyFill="1" applyBorder="1" applyAlignment="1" applyProtection="1">
      <alignment horizontal="center"/>
    </xf>
    <xf numFmtId="0" fontId="6" fillId="0" borderId="0" xfId="7" applyFont="1" applyFill="1" applyAlignment="1">
      <alignment horizontal="center"/>
    </xf>
    <xf numFmtId="1" fontId="6" fillId="0" borderId="0" xfId="7" applyNumberFormat="1" applyFont="1" applyFill="1" applyAlignment="1">
      <alignment horizontal="center"/>
    </xf>
    <xf numFmtId="167" fontId="6" fillId="0" borderId="0" xfId="7" applyNumberFormat="1" applyFont="1" applyFill="1" applyBorder="1"/>
    <xf numFmtId="167" fontId="6" fillId="0" borderId="0" xfId="7" quotePrefix="1" applyNumberFormat="1" applyFont="1" applyFill="1" applyBorder="1"/>
    <xf numFmtId="4" fontId="6" fillId="0" borderId="0" xfId="7" quotePrefix="1" applyNumberFormat="1" applyFont="1" applyFill="1" applyBorder="1" applyAlignment="1">
      <alignment horizontal="right"/>
    </xf>
    <xf numFmtId="3" fontId="6" fillId="0" borderId="0" xfId="7" applyNumberFormat="1" applyFont="1" applyFill="1" applyBorder="1"/>
    <xf numFmtId="167" fontId="6" fillId="0" borderId="0" xfId="7" quotePrefix="1" applyNumberFormat="1" applyFont="1" applyFill="1" applyBorder="1" applyAlignment="1">
      <alignment horizontal="right"/>
    </xf>
    <xf numFmtId="3" fontId="6" fillId="0" borderId="0" xfId="7" quotePrefix="1" applyNumberFormat="1" applyFont="1" applyFill="1" applyBorder="1" applyAlignment="1">
      <alignment horizontal="right"/>
    </xf>
    <xf numFmtId="3" fontId="6" fillId="0" borderId="0" xfId="7" applyNumberFormat="1" applyFont="1" applyFill="1" applyBorder="1" applyAlignment="1">
      <alignment horizontal="right"/>
    </xf>
    <xf numFmtId="167" fontId="6" fillId="0" borderId="0" xfId="7" applyNumberFormat="1" applyFont="1" applyFill="1" applyBorder="1" applyAlignment="1">
      <alignment horizontal="right"/>
    </xf>
    <xf numFmtId="167" fontId="6" fillId="0" borderId="0" xfId="7" applyNumberFormat="1" applyFont="1" applyFill="1"/>
    <xf numFmtId="167" fontId="7" fillId="0" borderId="0" xfId="7" applyNumberFormat="1" applyFont="1" applyFill="1" applyBorder="1"/>
    <xf numFmtId="0" fontId="4" fillId="0" borderId="0" xfId="0" applyFont="1" applyBorder="1"/>
    <xf numFmtId="0" fontId="3" fillId="0" borderId="0" xfId="0" applyFont="1" applyBorder="1"/>
    <xf numFmtId="44" fontId="6" fillId="0" borderId="0" xfId="7" applyNumberFormat="1" applyFont="1" applyFill="1"/>
    <xf numFmtId="2" fontId="6" fillId="0" borderId="0" xfId="7" applyNumberFormat="1" applyFont="1" applyFill="1" applyBorder="1"/>
    <xf numFmtId="0" fontId="6" fillId="0" borderId="0" xfId="0" applyFont="1"/>
    <xf numFmtId="0" fontId="6" fillId="0" borderId="0" xfId="0" applyFont="1" applyAlignment="1">
      <alignment horizontal="right"/>
    </xf>
    <xf numFmtId="3" fontId="6" fillId="0" borderId="0" xfId="0" applyNumberFormat="1" applyFont="1"/>
    <xf numFmtId="0" fontId="6" fillId="0" borderId="0" xfId="0" applyFont="1" applyFill="1"/>
    <xf numFmtId="172" fontId="7" fillId="0" borderId="40" xfId="0" applyNumberFormat="1" applyFont="1" applyFill="1" applyBorder="1" applyAlignment="1">
      <alignment horizontal="center"/>
    </xf>
    <xf numFmtId="3" fontId="6" fillId="0" borderId="27" xfId="0" applyNumberFormat="1" applyFont="1" applyFill="1" applyBorder="1" applyAlignment="1">
      <alignment horizontal="center"/>
    </xf>
    <xf numFmtId="1" fontId="6" fillId="0" borderId="27" xfId="0" applyNumberFormat="1" applyFont="1" applyFill="1" applyBorder="1" applyAlignment="1">
      <alignment horizontal="center"/>
    </xf>
    <xf numFmtId="4" fontId="6" fillId="0" borderId="27" xfId="0" applyNumberFormat="1" applyFont="1" applyFill="1" applyBorder="1" applyAlignment="1">
      <alignment horizontal="center"/>
    </xf>
    <xf numFmtId="165" fontId="6" fillId="0" borderId="27" xfId="0" applyNumberFormat="1" applyFont="1" applyFill="1" applyBorder="1" applyAlignment="1">
      <alignment horizontal="center"/>
    </xf>
    <xf numFmtId="170" fontId="6" fillId="0" borderId="27" xfId="0" applyNumberFormat="1" applyFont="1" applyFill="1" applyBorder="1" applyAlignment="1">
      <alignment horizontal="center"/>
    </xf>
    <xf numFmtId="0" fontId="6" fillId="0" borderId="27" xfId="0" applyFont="1" applyFill="1" applyBorder="1" applyAlignment="1">
      <alignment horizontal="center"/>
    </xf>
    <xf numFmtId="0" fontId="6" fillId="0" borderId="30" xfId="0" applyFont="1" applyFill="1" applyBorder="1" applyAlignment="1">
      <alignment horizontal="center"/>
    </xf>
    <xf numFmtId="3" fontId="6" fillId="0" borderId="0" xfId="0" applyNumberFormat="1" applyFont="1" applyFill="1" applyAlignment="1">
      <alignment horizontal="center"/>
    </xf>
    <xf numFmtId="0" fontId="7" fillId="0" borderId="0" xfId="0" applyFont="1" applyFill="1"/>
    <xf numFmtId="0" fontId="6" fillId="0" borderId="0" xfId="0" applyFont="1" applyAlignment="1">
      <alignment horizontal="center" vertical="center" wrapText="1"/>
    </xf>
    <xf numFmtId="0" fontId="6" fillId="0" borderId="24" xfId="0" applyFont="1" applyFill="1" applyBorder="1" applyAlignment="1">
      <alignment horizontal="center" vertical="center" wrapText="1"/>
    </xf>
    <xf numFmtId="0" fontId="7" fillId="0" borderId="44" xfId="0" applyFont="1" applyFill="1" applyBorder="1" applyAlignment="1">
      <alignment horizontal="center" vertical="center" wrapText="1"/>
    </xf>
    <xf numFmtId="0" fontId="7" fillId="0" borderId="0" xfId="0" applyFont="1" applyFill="1" applyBorder="1" applyAlignment="1">
      <alignment horizontal="center" vertical="center" wrapText="1"/>
    </xf>
    <xf numFmtId="0" fontId="6" fillId="0" borderId="68" xfId="0" applyFont="1" applyFill="1" applyBorder="1"/>
    <xf numFmtId="0" fontId="6" fillId="0" borderId="0" xfId="0" applyFont="1" applyFill="1" applyBorder="1" applyAlignment="1">
      <alignment horizontal="left"/>
    </xf>
    <xf numFmtId="3" fontId="6" fillId="0" borderId="0" xfId="0" applyNumberFormat="1" applyFont="1" applyFill="1" applyBorder="1" applyAlignment="1">
      <alignment horizontal="center" vertical="center"/>
    </xf>
    <xf numFmtId="0" fontId="6" fillId="0" borderId="0" xfId="0" applyFont="1" applyFill="1" applyBorder="1" applyAlignment="1">
      <alignment horizontal="center" vertical="center"/>
    </xf>
    <xf numFmtId="167" fontId="6" fillId="0" borderId="5" xfId="0" applyNumberFormat="1" applyFont="1" applyFill="1" applyBorder="1" applyAlignment="1">
      <alignment horizontal="center" vertical="center"/>
    </xf>
    <xf numFmtId="167" fontId="6" fillId="0" borderId="0" xfId="0" applyNumberFormat="1" applyFont="1" applyFill="1" applyBorder="1" applyAlignment="1">
      <alignment horizontal="center" vertical="center"/>
    </xf>
    <xf numFmtId="0" fontId="6" fillId="0" borderId="5" xfId="0" applyFont="1" applyFill="1" applyBorder="1"/>
    <xf numFmtId="4" fontId="6" fillId="0" borderId="0" xfId="0" applyNumberFormat="1" applyFont="1" applyFill="1" applyBorder="1" applyAlignment="1">
      <alignment horizontal="center" vertical="center"/>
    </xf>
    <xf numFmtId="168" fontId="6" fillId="0" borderId="0" xfId="0" applyNumberFormat="1" applyFont="1" applyFill="1" applyBorder="1" applyAlignment="1">
      <alignment horizontal="center" vertical="center"/>
    </xf>
    <xf numFmtId="4" fontId="6" fillId="0" borderId="0" xfId="0" quotePrefix="1" applyNumberFormat="1" applyFont="1" applyFill="1" applyBorder="1" applyAlignment="1">
      <alignment horizontal="center" vertical="center"/>
    </xf>
    <xf numFmtId="167" fontId="6" fillId="0" borderId="0" xfId="0" applyNumberFormat="1" applyFont="1"/>
    <xf numFmtId="0" fontId="6" fillId="0" borderId="56" xfId="0" applyFont="1" applyFill="1" applyBorder="1"/>
    <xf numFmtId="0" fontId="6" fillId="0" borderId="15" xfId="0" applyFont="1" applyFill="1" applyBorder="1" applyAlignment="1">
      <alignment horizontal="left"/>
    </xf>
    <xf numFmtId="3" fontId="6" fillId="0" borderId="15" xfId="0" applyNumberFormat="1" applyFont="1" applyFill="1" applyBorder="1" applyAlignment="1">
      <alignment horizontal="center" vertical="center"/>
    </xf>
    <xf numFmtId="4" fontId="6" fillId="0" borderId="15" xfId="0" applyNumberFormat="1" applyFont="1" applyFill="1" applyBorder="1" applyAlignment="1">
      <alignment horizontal="center" vertical="center"/>
    </xf>
    <xf numFmtId="0" fontId="6" fillId="0" borderId="15" xfId="0" applyFont="1" applyFill="1" applyBorder="1" applyAlignment="1">
      <alignment horizontal="center" vertical="center"/>
    </xf>
    <xf numFmtId="167" fontId="6" fillId="0" borderId="56" xfId="0" applyNumberFormat="1" applyFont="1" applyFill="1" applyBorder="1" applyAlignment="1">
      <alignment horizontal="center" vertical="center"/>
    </xf>
    <xf numFmtId="167" fontId="6" fillId="0" borderId="15" xfId="0" applyNumberFormat="1" applyFont="1" applyFill="1" applyBorder="1" applyAlignment="1">
      <alignment horizontal="center" vertical="center"/>
    </xf>
    <xf numFmtId="0" fontId="6" fillId="0" borderId="0" xfId="0" applyFont="1" applyFill="1" applyAlignment="1">
      <alignment horizontal="left"/>
    </xf>
    <xf numFmtId="0" fontId="7" fillId="0" borderId="0" xfId="0" applyFont="1" applyFill="1" applyAlignment="1">
      <alignment horizontal="right"/>
    </xf>
    <xf numFmtId="0" fontId="6" fillId="0" borderId="0" xfId="0" quotePrefix="1" applyFont="1" applyFill="1" applyBorder="1" applyAlignment="1">
      <alignment horizontal="center" vertical="center"/>
    </xf>
    <xf numFmtId="167" fontId="6" fillId="0" borderId="0" xfId="0" quotePrefix="1" applyNumberFormat="1" applyFont="1" applyFill="1" applyBorder="1" applyAlignment="1">
      <alignment horizontal="center" vertical="center"/>
    </xf>
    <xf numFmtId="0" fontId="6" fillId="0" borderId="15" xfId="0" quotePrefix="1" applyFont="1" applyFill="1" applyBorder="1" applyAlignment="1">
      <alignment horizontal="center" vertical="center"/>
    </xf>
    <xf numFmtId="167" fontId="7" fillId="0" borderId="0" xfId="0" applyNumberFormat="1" applyFont="1" applyFill="1" applyBorder="1" applyAlignment="1">
      <alignment horizontal="center" vertical="center"/>
    </xf>
    <xf numFmtId="3" fontId="6" fillId="0" borderId="0" xfId="0" applyNumberFormat="1" applyFont="1" applyFill="1" applyAlignment="1">
      <alignment horizontal="right"/>
    </xf>
    <xf numFmtId="0" fontId="6" fillId="0" borderId="0" xfId="0" applyFont="1" applyFill="1" applyBorder="1"/>
    <xf numFmtId="1" fontId="6" fillId="0" borderId="0" xfId="0" applyNumberFormat="1" applyFont="1" applyFill="1" applyBorder="1" applyAlignment="1">
      <alignment horizontal="center" vertical="center"/>
    </xf>
    <xf numFmtId="165" fontId="6" fillId="0" borderId="0" xfId="0" applyNumberFormat="1" applyFont="1" applyFill="1" applyBorder="1" applyAlignment="1">
      <alignment horizontal="center" vertical="center"/>
    </xf>
    <xf numFmtId="167" fontId="24" fillId="0" borderId="9" xfId="0" applyNumberFormat="1" applyFont="1" applyFill="1" applyBorder="1" applyAlignment="1">
      <alignment horizontal="center" vertical="center"/>
    </xf>
    <xf numFmtId="167" fontId="6" fillId="0" borderId="9" xfId="0" applyNumberFormat="1" applyFont="1" applyFill="1" applyBorder="1" applyAlignment="1">
      <alignment horizontal="center" vertical="center"/>
    </xf>
    <xf numFmtId="1" fontId="6" fillId="0" borderId="0" xfId="0" quotePrefix="1" applyNumberFormat="1" applyFont="1" applyFill="1" applyBorder="1" applyAlignment="1">
      <alignment horizontal="center" vertical="center"/>
    </xf>
    <xf numFmtId="166" fontId="6" fillId="0" borderId="0" xfId="0" applyNumberFormat="1" applyFont="1" applyFill="1" applyBorder="1" applyAlignment="1">
      <alignment horizontal="center" vertical="center"/>
    </xf>
    <xf numFmtId="0" fontId="6" fillId="0" borderId="9" xfId="0" applyFont="1" applyFill="1" applyBorder="1" applyAlignment="1">
      <alignment horizontal="center" vertical="center"/>
    </xf>
    <xf numFmtId="0" fontId="6" fillId="0" borderId="5" xfId="0" applyFont="1" applyFill="1" applyBorder="1" applyAlignment="1">
      <alignment horizontal="center" vertical="center"/>
    </xf>
    <xf numFmtId="0" fontId="6" fillId="0" borderId="15" xfId="0" applyFont="1" applyFill="1" applyBorder="1"/>
    <xf numFmtId="1" fontId="6" fillId="0" borderId="15" xfId="0" applyNumberFormat="1" applyFont="1" applyFill="1" applyBorder="1" applyAlignment="1">
      <alignment horizontal="center" vertical="center"/>
    </xf>
    <xf numFmtId="166" fontId="6" fillId="0" borderId="15" xfId="0" applyNumberFormat="1" applyFont="1" applyFill="1" applyBorder="1" applyAlignment="1">
      <alignment horizontal="center" vertical="center"/>
    </xf>
    <xf numFmtId="0" fontId="6" fillId="0" borderId="57" xfId="0" applyFont="1" applyFill="1" applyBorder="1" applyAlignment="1">
      <alignment horizontal="center" vertical="center"/>
    </xf>
    <xf numFmtId="0" fontId="6" fillId="0" borderId="0" xfId="0" applyFont="1" applyFill="1" applyAlignment="1">
      <alignment horizontal="right"/>
    </xf>
    <xf numFmtId="3" fontId="6" fillId="0" borderId="0" xfId="0" applyNumberFormat="1" applyFont="1" applyFill="1"/>
    <xf numFmtId="166" fontId="6" fillId="0" borderId="0" xfId="0" applyNumberFormat="1" applyFont="1" applyFill="1"/>
    <xf numFmtId="167" fontId="7" fillId="0" borderId="0" xfId="0" applyNumberFormat="1" applyFont="1" applyFill="1"/>
    <xf numFmtId="167" fontId="7" fillId="0" borderId="0" xfId="0" applyNumberFormat="1" applyFont="1" applyFill="1" applyBorder="1"/>
    <xf numFmtId="0" fontId="6" fillId="0" borderId="44" xfId="0" applyFont="1" applyFill="1" applyBorder="1" applyAlignment="1">
      <alignment horizontal="center" vertical="center" wrapText="1"/>
    </xf>
    <xf numFmtId="0" fontId="7" fillId="0" borderId="58" xfId="0" applyFont="1" applyFill="1" applyBorder="1" applyAlignment="1">
      <alignment horizontal="center" vertical="center" wrapText="1"/>
    </xf>
    <xf numFmtId="3" fontId="6" fillId="0" borderId="5" xfId="0" applyNumberFormat="1" applyFont="1" applyFill="1" applyBorder="1" applyAlignment="1">
      <alignment horizontal="center" vertical="center"/>
    </xf>
    <xf numFmtId="3" fontId="6" fillId="0" borderId="9" xfId="0" applyNumberFormat="1" applyFont="1" applyFill="1" applyBorder="1" applyAlignment="1">
      <alignment horizontal="center" vertical="center"/>
    </xf>
    <xf numFmtId="3" fontId="6" fillId="0" borderId="0" xfId="0" quotePrefix="1" applyNumberFormat="1" applyFont="1" applyFill="1" applyBorder="1" applyAlignment="1">
      <alignment horizontal="center" vertical="center"/>
    </xf>
    <xf numFmtId="166" fontId="6" fillId="0" borderId="5" xfId="0" applyNumberFormat="1" applyFont="1" applyFill="1" applyBorder="1" applyAlignment="1">
      <alignment horizontal="center" vertical="center"/>
    </xf>
    <xf numFmtId="3" fontId="6" fillId="0" borderId="9" xfId="0" quotePrefix="1" applyNumberFormat="1" applyFont="1" applyFill="1" applyBorder="1" applyAlignment="1">
      <alignment horizontal="center" vertical="center"/>
    </xf>
    <xf numFmtId="3" fontId="6" fillId="0" borderId="56" xfId="0" applyNumberFormat="1" applyFont="1" applyFill="1" applyBorder="1" applyAlignment="1">
      <alignment horizontal="center" vertical="center"/>
    </xf>
    <xf numFmtId="3" fontId="6" fillId="0" borderId="15" xfId="0" quotePrefix="1" applyNumberFormat="1" applyFont="1" applyFill="1" applyBorder="1" applyAlignment="1">
      <alignment horizontal="center" vertical="center"/>
    </xf>
    <xf numFmtId="3" fontId="6" fillId="0" borderId="57" xfId="0" quotePrefix="1" applyNumberFormat="1" applyFont="1" applyFill="1" applyBorder="1" applyAlignment="1">
      <alignment horizontal="center" vertical="center"/>
    </xf>
    <xf numFmtId="166" fontId="6" fillId="0" borderId="56" xfId="0" applyNumberFormat="1" applyFont="1" applyFill="1" applyBorder="1" applyAlignment="1">
      <alignment horizontal="center" vertical="center"/>
    </xf>
    <xf numFmtId="167" fontId="6" fillId="0" borderId="57" xfId="0" applyNumberFormat="1" applyFont="1" applyFill="1" applyBorder="1" applyAlignment="1">
      <alignment horizontal="center" vertical="center"/>
    </xf>
    <xf numFmtId="0" fontId="6" fillId="0" borderId="5" xfId="0" quotePrefix="1" applyFont="1" applyFill="1" applyBorder="1" applyAlignment="1">
      <alignment horizontal="center" vertical="center"/>
    </xf>
    <xf numFmtId="0" fontId="6" fillId="0" borderId="9" xfId="0" quotePrefix="1" applyFont="1" applyFill="1" applyBorder="1" applyAlignment="1">
      <alignment horizontal="center" vertical="center"/>
    </xf>
    <xf numFmtId="167" fontId="6" fillId="0" borderId="9" xfId="0" quotePrefix="1" applyNumberFormat="1" applyFont="1" applyFill="1" applyBorder="1" applyAlignment="1">
      <alignment horizontal="center" vertical="center"/>
    </xf>
    <xf numFmtId="0" fontId="6" fillId="0" borderId="3" xfId="0" quotePrefix="1" applyFont="1" applyFill="1" applyBorder="1" applyAlignment="1">
      <alignment horizontal="center" vertical="center"/>
    </xf>
    <xf numFmtId="167" fontId="6" fillId="0" borderId="3" xfId="0" applyNumberFormat="1" applyFont="1" applyFill="1" applyBorder="1" applyAlignment="1">
      <alignment horizontal="center" vertical="center"/>
    </xf>
    <xf numFmtId="167" fontId="6" fillId="0" borderId="3" xfId="0" quotePrefix="1" applyNumberFormat="1" applyFont="1" applyFill="1" applyBorder="1" applyAlignment="1">
      <alignment horizontal="center" vertical="center"/>
    </xf>
    <xf numFmtId="0" fontId="6" fillId="0" borderId="2" xfId="0" quotePrefix="1" applyFont="1" applyFill="1" applyBorder="1" applyAlignment="1">
      <alignment horizontal="center" vertical="center"/>
    </xf>
    <xf numFmtId="166" fontId="6" fillId="0" borderId="56" xfId="0" quotePrefix="1" applyNumberFormat="1" applyFont="1" applyFill="1" applyBorder="1" applyAlignment="1">
      <alignment horizontal="center" vertical="center"/>
    </xf>
    <xf numFmtId="166" fontId="6" fillId="0" borderId="15" xfId="0" quotePrefix="1" applyNumberFormat="1" applyFont="1" applyFill="1" applyBorder="1" applyAlignment="1">
      <alignment horizontal="center" vertical="center"/>
    </xf>
    <xf numFmtId="167" fontId="6" fillId="0" borderId="15" xfId="0" quotePrefix="1" applyNumberFormat="1" applyFont="1" applyFill="1" applyBorder="1" applyAlignment="1">
      <alignment horizontal="center" vertical="center"/>
    </xf>
    <xf numFmtId="0" fontId="6" fillId="0" borderId="0" xfId="0" applyFont="1" applyFill="1" applyAlignment="1">
      <alignment horizontal="center" vertical="center" wrapText="1"/>
    </xf>
    <xf numFmtId="0" fontId="6" fillId="0" borderId="0" xfId="0" applyFont="1" applyFill="1" applyBorder="1" applyAlignment="1">
      <alignment horizontal="center" vertical="center" wrapText="1"/>
    </xf>
    <xf numFmtId="3" fontId="6" fillId="0" borderId="0" xfId="0" applyNumberFormat="1" applyFont="1" applyFill="1" applyBorder="1" applyAlignment="1">
      <alignment horizontal="center" vertical="center" wrapText="1"/>
    </xf>
    <xf numFmtId="1" fontId="6" fillId="0" borderId="0" xfId="0" applyNumberFormat="1" applyFont="1" applyFill="1"/>
    <xf numFmtId="168" fontId="6" fillId="0" borderId="0" xfId="0" applyNumberFormat="1" applyFont="1" applyFill="1" applyBorder="1" applyAlignment="1">
      <alignment horizontal="right"/>
    </xf>
    <xf numFmtId="168" fontId="6" fillId="0" borderId="0" xfId="0" quotePrefix="1" applyNumberFormat="1" applyFont="1" applyFill="1" applyBorder="1" applyAlignment="1">
      <alignment horizontal="center" vertical="center"/>
    </xf>
    <xf numFmtId="0" fontId="6" fillId="0" borderId="0" xfId="0" applyFont="1" applyFill="1" applyAlignment="1">
      <alignment horizontal="center"/>
    </xf>
    <xf numFmtId="0" fontId="6" fillId="0" borderId="4" xfId="0" quotePrefix="1" applyFont="1" applyFill="1" applyBorder="1" applyAlignment="1">
      <alignment horizontal="center" vertical="center"/>
    </xf>
    <xf numFmtId="167" fontId="6" fillId="0" borderId="0" xfId="0" applyNumberFormat="1" applyFont="1" applyFill="1" applyAlignment="1">
      <alignment horizontal="center"/>
    </xf>
    <xf numFmtId="167" fontId="6" fillId="0" borderId="0" xfId="0" applyNumberFormat="1" applyFont="1" applyFill="1" applyBorder="1" applyAlignment="1">
      <alignment horizontal="center" vertical="center" wrapText="1"/>
    </xf>
    <xf numFmtId="0" fontId="6" fillId="0" borderId="5" xfId="0" applyFont="1" applyFill="1" applyBorder="1" applyAlignment="1">
      <alignment horizontal="left" vertical="center" wrapText="1"/>
    </xf>
    <xf numFmtId="0" fontId="6" fillId="0" borderId="0" xfId="0" applyFont="1" applyFill="1" applyBorder="1" applyAlignment="1">
      <alignment horizontal="left" vertical="center" wrapText="1"/>
    </xf>
    <xf numFmtId="3" fontId="6" fillId="0" borderId="15" xfId="0" applyNumberFormat="1" applyFont="1" applyFill="1" applyBorder="1" applyAlignment="1">
      <alignment horizontal="center" vertical="center" wrapText="1"/>
    </xf>
    <xf numFmtId="167" fontId="6" fillId="0" borderId="15" xfId="0" applyNumberFormat="1" applyFont="1" applyFill="1" applyBorder="1" applyAlignment="1">
      <alignment horizontal="center" vertical="center" wrapText="1"/>
    </xf>
    <xf numFmtId="167" fontId="6" fillId="0" borderId="0" xfId="0" applyNumberFormat="1" applyFont="1" applyFill="1"/>
    <xf numFmtId="167" fontId="6" fillId="0" borderId="4" xfId="0" quotePrefix="1" applyNumberFormat="1" applyFont="1" applyFill="1" applyBorder="1" applyAlignment="1">
      <alignment horizontal="center" vertical="center"/>
    </xf>
    <xf numFmtId="0" fontId="26" fillId="0" borderId="0" xfId="9" applyFont="1" applyFill="1" applyBorder="1"/>
    <xf numFmtId="0" fontId="6" fillId="0" borderId="0" xfId="9" applyFont="1" applyFill="1"/>
    <xf numFmtId="0" fontId="6" fillId="0" borderId="0" xfId="9" applyFont="1" applyFill="1" applyBorder="1" applyAlignment="1">
      <alignment horizontal="right"/>
    </xf>
    <xf numFmtId="170" fontId="6" fillId="0" borderId="0" xfId="9" applyNumberFormat="1" applyFont="1" applyFill="1" applyBorder="1"/>
    <xf numFmtId="0" fontId="27" fillId="0" borderId="0" xfId="6" applyFont="1"/>
    <xf numFmtId="0" fontId="27" fillId="0" borderId="0" xfId="6" applyFont="1" applyFill="1"/>
    <xf numFmtId="0" fontId="27" fillId="0" borderId="0" xfId="6" applyFont="1" applyAlignment="1">
      <alignment horizontal="left"/>
    </xf>
    <xf numFmtId="0" fontId="7" fillId="0" borderId="53" xfId="0" applyFont="1" applyBorder="1"/>
    <xf numFmtId="0" fontId="7" fillId="0" borderId="55" xfId="0" applyFont="1" applyBorder="1"/>
    <xf numFmtId="0" fontId="6" fillId="0" borderId="26" xfId="0" applyFont="1" applyBorder="1"/>
    <xf numFmtId="167" fontId="6" fillId="0" borderId="19" xfId="0" applyNumberFormat="1" applyFont="1" applyBorder="1"/>
    <xf numFmtId="167" fontId="6" fillId="0" borderId="27" xfId="0" applyNumberFormat="1" applyFont="1" applyBorder="1"/>
    <xf numFmtId="0" fontId="7" fillId="0" borderId="26" xfId="0" applyFont="1" applyBorder="1"/>
    <xf numFmtId="167" fontId="7" fillId="0" borderId="19" xfId="0" applyNumberFormat="1" applyFont="1" applyBorder="1"/>
    <xf numFmtId="167" fontId="7" fillId="0" borderId="27" xfId="0" applyNumberFormat="1" applyFont="1" applyBorder="1"/>
    <xf numFmtId="0" fontId="7" fillId="0" borderId="53" xfId="0" applyFont="1" applyBorder="1" applyAlignment="1">
      <alignment horizontal="left"/>
    </xf>
    <xf numFmtId="0" fontId="7" fillId="0" borderId="55" xfId="0" applyFont="1" applyBorder="1" applyAlignment="1">
      <alignment horizontal="center"/>
    </xf>
    <xf numFmtId="167" fontId="6" fillId="0" borderId="7" xfId="0" applyNumberFormat="1" applyFont="1" applyBorder="1"/>
    <xf numFmtId="0" fontId="6" fillId="0" borderId="31" xfId="0" applyFont="1" applyBorder="1"/>
    <xf numFmtId="167" fontId="6" fillId="0" borderId="32" xfId="0" applyNumberFormat="1" applyFont="1" applyBorder="1"/>
    <xf numFmtId="167" fontId="7" fillId="0" borderId="7" xfId="0" applyNumberFormat="1" applyFont="1" applyBorder="1"/>
    <xf numFmtId="167" fontId="7" fillId="0" borderId="50" xfId="0" applyNumberFormat="1" applyFont="1" applyBorder="1"/>
    <xf numFmtId="0" fontId="7" fillId="0" borderId="39" xfId="0" applyFont="1" applyBorder="1"/>
    <xf numFmtId="167" fontId="7" fillId="0" borderId="51" xfId="0" applyNumberFormat="1" applyFont="1" applyBorder="1"/>
    <xf numFmtId="167" fontId="7" fillId="0" borderId="40" xfId="0" applyNumberFormat="1" applyFont="1" applyBorder="1"/>
    <xf numFmtId="1" fontId="6" fillId="0" borderId="0" xfId="0" applyNumberFormat="1" applyFont="1"/>
    <xf numFmtId="0" fontId="28" fillId="0" borderId="0" xfId="6" applyFont="1"/>
    <xf numFmtId="0" fontId="27" fillId="0" borderId="0" xfId="6" applyFont="1" applyFill="1" applyAlignment="1">
      <alignment horizontal="center"/>
    </xf>
    <xf numFmtId="0" fontId="27" fillId="0" borderId="0" xfId="6" applyFont="1" applyAlignment="1"/>
    <xf numFmtId="0" fontId="27" fillId="0" borderId="0" xfId="6" applyFont="1" applyFill="1" applyAlignment="1">
      <alignment vertical="center"/>
    </xf>
    <xf numFmtId="0" fontId="24" fillId="0" borderId="26" xfId="6" applyFont="1" applyFill="1" applyBorder="1" applyAlignment="1">
      <alignment horizontal="left" vertical="center"/>
    </xf>
    <xf numFmtId="0" fontId="24" fillId="0" borderId="0" xfId="6" applyFont="1" applyFill="1"/>
    <xf numFmtId="0" fontId="27" fillId="0" borderId="26" xfId="0" applyFont="1" applyFill="1" applyBorder="1" applyAlignment="1">
      <alignment horizontal="left" vertical="center"/>
    </xf>
    <xf numFmtId="0" fontId="24" fillId="0" borderId="0" xfId="0" applyFont="1" applyFill="1"/>
    <xf numFmtId="0" fontId="24" fillId="0" borderId="26" xfId="0" applyFont="1" applyFill="1" applyBorder="1" applyAlignment="1">
      <alignment vertical="center" wrapText="1"/>
    </xf>
    <xf numFmtId="0" fontId="30" fillId="0" borderId="26" xfId="0" applyFont="1" applyFill="1" applyBorder="1" applyAlignment="1">
      <alignment vertical="center" wrapText="1"/>
    </xf>
    <xf numFmtId="0" fontId="30" fillId="0" borderId="19" xfId="0" applyFont="1" applyFill="1" applyBorder="1" applyAlignment="1">
      <alignment horizontal="center" vertical="center"/>
    </xf>
    <xf numFmtId="167" fontId="30" fillId="0" borderId="19" xfId="0" applyNumberFormat="1" applyFont="1" applyFill="1" applyBorder="1" applyAlignment="1">
      <alignment horizontal="center" vertical="center"/>
    </xf>
    <xf numFmtId="14" fontId="24" fillId="0" borderId="0" xfId="0" quotePrefix="1" applyNumberFormat="1" applyFont="1" applyFill="1" applyBorder="1" applyAlignment="1" applyProtection="1">
      <alignment horizontal="right"/>
    </xf>
    <xf numFmtId="175" fontId="24" fillId="0" borderId="0" xfId="5" applyNumberFormat="1" applyFont="1" applyAlignment="1">
      <alignment horizontal="right"/>
    </xf>
    <xf numFmtId="0" fontId="31" fillId="0" borderId="0" xfId="0" applyFont="1"/>
    <xf numFmtId="0" fontId="27" fillId="0" borderId="26" xfId="6" applyFont="1" applyFill="1" applyBorder="1" applyAlignment="1">
      <alignment horizontal="left" vertical="center"/>
    </xf>
    <xf numFmtId="0" fontId="27" fillId="0" borderId="19" xfId="6" applyFont="1" applyFill="1" applyBorder="1" applyAlignment="1">
      <alignment horizontal="center" vertical="center"/>
    </xf>
    <xf numFmtId="0" fontId="24" fillId="0" borderId="26" xfId="0" applyFont="1" applyFill="1" applyBorder="1" applyAlignment="1">
      <alignment horizontal="left" vertical="center"/>
    </xf>
    <xf numFmtId="0" fontId="24" fillId="0" borderId="19" xfId="0" applyFont="1" applyFill="1" applyBorder="1" applyAlignment="1">
      <alignment horizontal="center" vertical="center"/>
    </xf>
    <xf numFmtId="0" fontId="27" fillId="0" borderId="71" xfId="6" applyFont="1" applyBorder="1"/>
    <xf numFmtId="0" fontId="27" fillId="0" borderId="71" xfId="6" applyFont="1" applyFill="1" applyBorder="1" applyAlignment="1">
      <alignment horizontal="center"/>
    </xf>
    <xf numFmtId="0" fontId="30" fillId="0" borderId="28" xfId="0" applyFont="1" applyFill="1" applyBorder="1" applyAlignment="1">
      <alignment vertical="center" wrapText="1"/>
    </xf>
    <xf numFmtId="0" fontId="30" fillId="0" borderId="29" xfId="0" applyFont="1" applyFill="1" applyBorder="1" applyAlignment="1">
      <alignment horizontal="center" vertical="center"/>
    </xf>
    <xf numFmtId="0" fontId="7" fillId="0" borderId="1" xfId="7" applyFont="1" applyFill="1" applyBorder="1"/>
    <xf numFmtId="0" fontId="6" fillId="0" borderId="1" xfId="7" applyFont="1" applyFill="1" applyBorder="1"/>
    <xf numFmtId="0" fontId="11" fillId="0" borderId="0" xfId="0" applyFont="1" applyFill="1"/>
    <xf numFmtId="175" fontId="6" fillId="0" borderId="0" xfId="0" applyNumberFormat="1" applyFont="1" applyFill="1" applyAlignment="1">
      <alignment horizontal="right"/>
    </xf>
    <xf numFmtId="173" fontId="6" fillId="0" borderId="0" xfId="0" applyNumberFormat="1" applyFont="1" applyFill="1"/>
    <xf numFmtId="0" fontId="7" fillId="0" borderId="24" xfId="0" applyFont="1" applyFill="1" applyBorder="1" applyAlignment="1">
      <alignment horizontal="center" vertical="center" wrapText="1"/>
    </xf>
    <xf numFmtId="0" fontId="6" fillId="0" borderId="69" xfId="0" applyFont="1" applyFill="1" applyBorder="1"/>
    <xf numFmtId="0" fontId="6" fillId="0" borderId="5" xfId="0" quotePrefix="1" applyFont="1" applyFill="1" applyBorder="1" applyAlignment="1">
      <alignment horizontal="center"/>
    </xf>
    <xf numFmtId="0" fontId="6" fillId="0" borderId="56" xfId="0" quotePrefix="1" applyFont="1" applyFill="1" applyBorder="1" applyAlignment="1">
      <alignment horizontal="center"/>
    </xf>
    <xf numFmtId="4" fontId="6" fillId="0" borderId="0" xfId="0" applyNumberFormat="1" applyFont="1" applyFill="1"/>
    <xf numFmtId="2" fontId="6" fillId="0" borderId="0" xfId="0" applyNumberFormat="1" applyFont="1" applyFill="1"/>
    <xf numFmtId="0" fontId="22" fillId="0" borderId="0" xfId="0" applyFont="1" applyFill="1"/>
    <xf numFmtId="0" fontId="6" fillId="0" borderId="58"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25" fillId="0" borderId="5" xfId="0" applyFont="1" applyFill="1" applyBorder="1"/>
    <xf numFmtId="0" fontId="7" fillId="0" borderId="0" xfId="0" applyFont="1" applyFill="1" applyAlignment="1">
      <alignment horizontal="center"/>
    </xf>
    <xf numFmtId="167" fontId="6" fillId="0" borderId="0" xfId="0" applyNumberFormat="1" applyFont="1" applyFill="1" applyAlignment="1">
      <alignment horizontal="center" vertical="center" wrapText="1"/>
    </xf>
    <xf numFmtId="0" fontId="6" fillId="0" borderId="56" xfId="0" applyFont="1" applyFill="1" applyBorder="1" applyAlignment="1">
      <alignment horizontal="center" vertical="center"/>
    </xf>
    <xf numFmtId="168" fontId="6" fillId="0" borderId="0" xfId="0" applyNumberFormat="1" applyFont="1" applyFill="1"/>
    <xf numFmtId="0" fontId="6" fillId="0" borderId="56" xfId="0" applyFont="1" applyFill="1" applyBorder="1" applyAlignment="1">
      <alignment horizontal="left" vertical="center" wrapText="1"/>
    </xf>
    <xf numFmtId="0" fontId="6" fillId="0" borderId="15" xfId="0" applyFont="1" applyFill="1" applyBorder="1" applyAlignment="1">
      <alignment horizontal="left" vertical="center" wrapText="1"/>
    </xf>
    <xf numFmtId="0" fontId="35" fillId="0" borderId="0" xfId="6" applyFont="1" applyAlignment="1">
      <alignment horizontal="left"/>
    </xf>
    <xf numFmtId="0" fontId="7" fillId="0" borderId="0" xfId="0" applyFont="1" applyAlignment="1">
      <alignment horizontal="right"/>
    </xf>
    <xf numFmtId="0" fontId="4" fillId="0" borderId="0" xfId="4" applyFont="1"/>
    <xf numFmtId="0" fontId="27" fillId="0" borderId="0" xfId="6" applyFont="1" applyFill="1" applyAlignment="1">
      <alignment horizontal="left"/>
    </xf>
    <xf numFmtId="0" fontId="6" fillId="0" borderId="27" xfId="6" applyFont="1" applyFill="1" applyBorder="1" applyAlignment="1">
      <alignment horizontal="left" vertical="center" wrapText="1"/>
    </xf>
    <xf numFmtId="168" fontId="27" fillId="0" borderId="19" xfId="6" applyNumberFormat="1" applyFont="1" applyFill="1" applyBorder="1" applyAlignment="1">
      <alignment horizontal="center" vertical="center"/>
    </xf>
    <xf numFmtId="174" fontId="24" fillId="0" borderId="19" xfId="0" applyNumberFormat="1" applyFont="1" applyFill="1" applyBorder="1" applyAlignment="1">
      <alignment horizontal="center" vertical="center"/>
    </xf>
    <xf numFmtId="0" fontId="36" fillId="0" borderId="0" xfId="6" applyFont="1"/>
    <xf numFmtId="0" fontId="36" fillId="0" borderId="0" xfId="6" applyFont="1" applyFill="1"/>
    <xf numFmtId="0" fontId="37" fillId="0" borderId="0" xfId="6" applyFont="1" applyFill="1"/>
    <xf numFmtId="0" fontId="6" fillId="0" borderId="0" xfId="6" applyFont="1" applyFill="1"/>
    <xf numFmtId="0" fontId="27" fillId="0" borderId="72" xfId="6" applyFont="1" applyFill="1" applyBorder="1" applyAlignment="1">
      <alignment horizontal="left" vertical="center"/>
    </xf>
    <xf numFmtId="0" fontId="27" fillId="0" borderId="49" xfId="6" applyFont="1" applyFill="1" applyBorder="1" applyAlignment="1">
      <alignment horizontal="center" vertical="center"/>
    </xf>
    <xf numFmtId="168" fontId="27" fillId="0" borderId="49" xfId="6" applyNumberFormat="1" applyFont="1" applyFill="1" applyBorder="1" applyAlignment="1">
      <alignment horizontal="center" vertical="center"/>
    </xf>
    <xf numFmtId="1" fontId="6" fillId="0" borderId="49" xfId="10" quotePrefix="1" applyNumberFormat="1" applyFont="1" applyBorder="1" applyAlignment="1">
      <alignment horizontal="center" vertical="center"/>
    </xf>
    <xf numFmtId="0" fontId="6" fillId="0" borderId="43" xfId="10" applyFont="1" applyBorder="1" applyAlignment="1">
      <alignment vertical="center" wrapText="1"/>
    </xf>
    <xf numFmtId="0" fontId="27" fillId="0" borderId="31" xfId="6" applyFont="1" applyFill="1" applyBorder="1" applyAlignment="1">
      <alignment horizontal="left" vertical="center"/>
    </xf>
    <xf numFmtId="0" fontId="27" fillId="0" borderId="12" xfId="6" applyFont="1" applyFill="1" applyBorder="1" applyAlignment="1">
      <alignment horizontal="center" vertical="center"/>
    </xf>
    <xf numFmtId="168" fontId="27" fillId="0" borderId="12" xfId="6" applyNumberFormat="1" applyFont="1" applyFill="1" applyBorder="1" applyAlignment="1">
      <alignment horizontal="center" vertical="center"/>
    </xf>
    <xf numFmtId="1" fontId="6" fillId="0" borderId="19" xfId="10" quotePrefix="1" applyNumberFormat="1" applyFont="1" applyBorder="1" applyAlignment="1">
      <alignment horizontal="center" vertical="center"/>
    </xf>
    <xf numFmtId="0" fontId="6" fillId="0" borderId="27" xfId="10" applyFont="1" applyBorder="1" applyAlignment="1">
      <alignment vertical="center" wrapText="1"/>
    </xf>
    <xf numFmtId="1" fontId="6" fillId="0" borderId="19" xfId="10" applyNumberFormat="1" applyFont="1" applyBorder="1" applyAlignment="1">
      <alignment horizontal="center" vertical="center"/>
    </xf>
    <xf numFmtId="1" fontId="6" fillId="0" borderId="19" xfId="10" applyNumberFormat="1" applyFont="1" applyFill="1" applyBorder="1" applyAlignment="1">
      <alignment horizontal="center" vertical="center"/>
    </xf>
    <xf numFmtId="0" fontId="6" fillId="0" borderId="27" xfId="10" applyFont="1" applyFill="1" applyBorder="1" applyAlignment="1">
      <alignment vertical="center" wrapText="1"/>
    </xf>
    <xf numFmtId="167" fontId="27" fillId="0" borderId="12" xfId="6" applyNumberFormat="1" applyFont="1" applyFill="1" applyBorder="1" applyAlignment="1">
      <alignment horizontal="center" vertical="center"/>
    </xf>
    <xf numFmtId="0" fontId="24" fillId="0" borderId="19" xfId="6" applyFont="1" applyFill="1" applyBorder="1" applyAlignment="1">
      <alignment horizontal="center" vertical="center"/>
    </xf>
    <xf numFmtId="0" fontId="24" fillId="0" borderId="19" xfId="0" quotePrefix="1" applyFont="1" applyFill="1" applyBorder="1" applyAlignment="1">
      <alignment horizontal="center" vertical="center"/>
    </xf>
    <xf numFmtId="0" fontId="24" fillId="0" borderId="27" xfId="6" applyFont="1" applyFill="1" applyBorder="1" applyAlignment="1">
      <alignment vertical="center" wrapText="1"/>
    </xf>
    <xf numFmtId="0" fontId="27" fillId="0" borderId="19" xfId="0" applyFont="1" applyFill="1" applyBorder="1" applyAlignment="1">
      <alignment horizontal="center" vertical="center"/>
    </xf>
    <xf numFmtId="0" fontId="27" fillId="0" borderId="19" xfId="0" applyFont="1" applyFill="1" applyBorder="1" applyAlignment="1">
      <alignment horizontal="center" vertical="center" wrapText="1"/>
    </xf>
    <xf numFmtId="0" fontId="27" fillId="0" borderId="27" xfId="0" applyFont="1" applyFill="1" applyBorder="1" applyAlignment="1">
      <alignment vertical="center" wrapText="1"/>
    </xf>
    <xf numFmtId="0" fontId="24" fillId="0" borderId="27" xfId="0" applyFont="1" applyFill="1" applyBorder="1" applyAlignment="1">
      <alignment vertical="center" wrapText="1"/>
    </xf>
    <xf numFmtId="0" fontId="24" fillId="0" borderId="26" xfId="0" applyFont="1" applyFill="1" applyBorder="1" applyAlignment="1">
      <alignment vertical="center"/>
    </xf>
    <xf numFmtId="0" fontId="6" fillId="0" borderId="26" xfId="0" applyFont="1" applyFill="1" applyBorder="1" applyAlignment="1">
      <alignment vertical="center"/>
    </xf>
    <xf numFmtId="168" fontId="27" fillId="0" borderId="19" xfId="6" quotePrefix="1" applyNumberFormat="1" applyFont="1" applyFill="1" applyBorder="1" applyAlignment="1">
      <alignment horizontal="center" vertical="center"/>
    </xf>
    <xf numFmtId="0" fontId="27" fillId="0" borderId="19" xfId="0" quotePrefix="1" applyFont="1" applyFill="1" applyBorder="1" applyAlignment="1">
      <alignment horizontal="center" vertical="center"/>
    </xf>
    <xf numFmtId="0" fontId="27" fillId="0" borderId="27" xfId="0" quotePrefix="1" applyFont="1" applyFill="1" applyBorder="1" applyAlignment="1">
      <alignment vertical="center" wrapText="1"/>
    </xf>
    <xf numFmtId="167" fontId="27" fillId="0" borderId="29" xfId="6" quotePrefix="1" applyNumberFormat="1" applyFont="1" applyFill="1" applyBorder="1" applyAlignment="1">
      <alignment horizontal="center" vertical="center"/>
    </xf>
    <xf numFmtId="0" fontId="27" fillId="0" borderId="30" xfId="0" quotePrefix="1" applyFont="1" applyFill="1" applyBorder="1" applyAlignment="1">
      <alignment vertical="center" wrapText="1"/>
    </xf>
    <xf numFmtId="10" fontId="37" fillId="0" borderId="0" xfId="8" applyNumberFormat="1" applyFont="1" applyFill="1" applyAlignment="1">
      <alignment horizontal="left"/>
    </xf>
    <xf numFmtId="167" fontId="27" fillId="0" borderId="19" xfId="6" quotePrefix="1" applyNumberFormat="1" applyFont="1" applyFill="1" applyBorder="1" applyAlignment="1">
      <alignment horizontal="center" vertical="center"/>
    </xf>
    <xf numFmtId="0" fontId="37" fillId="0" borderId="0" xfId="6" applyFont="1" applyFill="1" applyAlignment="1">
      <alignment horizontal="left"/>
    </xf>
    <xf numFmtId="164" fontId="14" fillId="0" borderId="0" xfId="1" applyNumberFormat="1" applyFont="1"/>
    <xf numFmtId="170" fontId="14" fillId="0" borderId="0" xfId="5" applyNumberFormat="1"/>
    <xf numFmtId="0" fontId="27" fillId="0" borderId="31" xfId="6" applyFont="1" applyFill="1" applyBorder="1" applyAlignment="1">
      <alignment horizontal="left" vertical="center" wrapText="1"/>
    </xf>
    <xf numFmtId="0" fontId="7" fillId="0" borderId="54" xfId="0" applyFont="1" applyFill="1" applyBorder="1"/>
    <xf numFmtId="167" fontId="6" fillId="0" borderId="19" xfId="0" applyNumberFormat="1" applyFont="1" applyFill="1" applyBorder="1"/>
    <xf numFmtId="167" fontId="7" fillId="0" borderId="19" xfId="0" applyNumberFormat="1" applyFont="1" applyFill="1" applyBorder="1"/>
    <xf numFmtId="0" fontId="7" fillId="0" borderId="54" xfId="0" applyFont="1" applyFill="1" applyBorder="1" applyAlignment="1">
      <alignment horizontal="center"/>
    </xf>
    <xf numFmtId="167" fontId="6" fillId="0" borderId="12" xfId="0" applyNumberFormat="1" applyFont="1" applyFill="1" applyBorder="1"/>
    <xf numFmtId="167" fontId="7" fillId="0" borderId="7" xfId="0" applyNumberFormat="1" applyFont="1" applyFill="1" applyBorder="1"/>
    <xf numFmtId="0" fontId="26" fillId="0" borderId="0" xfId="0" applyFont="1"/>
    <xf numFmtId="0" fontId="6" fillId="0" borderId="0" xfId="0" applyFont="1" applyAlignment="1">
      <alignment wrapText="1"/>
    </xf>
    <xf numFmtId="0" fontId="7" fillId="0" borderId="0" xfId="0" applyFont="1" applyAlignment="1">
      <alignment horizontal="left" vertical="center"/>
    </xf>
    <xf numFmtId="0" fontId="7" fillId="0" borderId="0" xfId="9" applyFont="1" applyFill="1" applyBorder="1" applyAlignment="1">
      <alignment horizontal="left" vertical="center"/>
    </xf>
    <xf numFmtId="0" fontId="6" fillId="0" borderId="0" xfId="0" applyFont="1" applyAlignment="1">
      <alignment horizontal="left" vertical="center"/>
    </xf>
    <xf numFmtId="0" fontId="26" fillId="0" borderId="0" xfId="9" applyFont="1" applyFill="1" applyBorder="1" applyAlignment="1">
      <alignment horizontal="left" vertical="center"/>
    </xf>
    <xf numFmtId="167" fontId="6" fillId="0" borderId="0" xfId="0" applyNumberFormat="1" applyFont="1" applyFill="1" applyAlignment="1">
      <alignment vertical="center"/>
    </xf>
    <xf numFmtId="167" fontId="6" fillId="0" borderId="0" xfId="9" applyNumberFormat="1" applyFont="1" applyFill="1" applyBorder="1" applyAlignment="1">
      <alignment vertical="center"/>
    </xf>
    <xf numFmtId="167" fontId="7" fillId="0" borderId="0" xfId="0" applyNumberFormat="1" applyFont="1" applyFill="1" applyAlignment="1">
      <alignment vertical="center"/>
    </xf>
    <xf numFmtId="167" fontId="7" fillId="0" borderId="0" xfId="0" applyNumberFormat="1" applyFont="1" applyAlignment="1">
      <alignment vertical="center"/>
    </xf>
    <xf numFmtId="0" fontId="3" fillId="0" borderId="0" xfId="0" applyFont="1" applyAlignment="1">
      <alignment vertical="center"/>
    </xf>
    <xf numFmtId="0" fontId="33" fillId="0" borderId="1" xfId="7" applyFont="1" applyFill="1" applyBorder="1"/>
    <xf numFmtId="0" fontId="6" fillId="0" borderId="1" xfId="7" applyFont="1" applyFill="1" applyBorder="1" applyAlignment="1">
      <alignment horizontal="center"/>
    </xf>
    <xf numFmtId="168" fontId="6" fillId="0" borderId="1" xfId="7" applyNumberFormat="1" applyFont="1" applyFill="1" applyBorder="1" applyAlignment="1" applyProtection="1">
      <alignment horizontal="center"/>
    </xf>
    <xf numFmtId="167" fontId="6" fillId="0" borderId="76" xfId="7" quotePrefix="1" applyNumberFormat="1" applyFont="1" applyFill="1" applyBorder="1"/>
    <xf numFmtId="167" fontId="6" fillId="0" borderId="77" xfId="7" quotePrefix="1" applyNumberFormat="1" applyFont="1" applyFill="1" applyBorder="1"/>
    <xf numFmtId="167" fontId="6" fillId="0" borderId="75" xfId="7" quotePrefix="1" applyNumberFormat="1" applyFont="1" applyFill="1" applyBorder="1"/>
    <xf numFmtId="167" fontId="6" fillId="0" borderId="74" xfId="7" applyNumberFormat="1" applyFont="1" applyFill="1" applyBorder="1"/>
    <xf numFmtId="0" fontId="2" fillId="0" borderId="73" xfId="12" applyBorder="1" applyAlignment="1">
      <alignment horizontal="center" vertical="center" wrapText="1"/>
    </xf>
    <xf numFmtId="0" fontId="2" fillId="0" borderId="4" xfId="12" applyBorder="1" applyAlignment="1">
      <alignment horizontal="center" vertical="center"/>
    </xf>
    <xf numFmtId="0" fontId="2" fillId="0" borderId="4" xfId="12" applyBorder="1" applyAlignment="1">
      <alignment horizontal="center" vertical="center" wrapText="1"/>
    </xf>
    <xf numFmtId="0" fontId="2" fillId="0" borderId="74" xfId="12" applyBorder="1" applyAlignment="1">
      <alignment horizontal="center" vertical="center"/>
    </xf>
    <xf numFmtId="0" fontId="39" fillId="0" borderId="74" xfId="12" applyFont="1" applyBorder="1" applyAlignment="1">
      <alignment horizontal="center" vertical="center"/>
    </xf>
    <xf numFmtId="0" fontId="2" fillId="0" borderId="0" xfId="12" applyAlignment="1">
      <alignment horizontal="center" vertical="center"/>
    </xf>
    <xf numFmtId="0" fontId="6" fillId="0" borderId="0" xfId="7" applyFont="1" applyFill="1" applyAlignment="1">
      <alignment horizontal="center" vertical="center"/>
    </xf>
    <xf numFmtId="0" fontId="6" fillId="0" borderId="76" xfId="7" applyFont="1" applyFill="1" applyBorder="1" applyAlignment="1">
      <alignment horizontal="center" vertical="center"/>
    </xf>
    <xf numFmtId="0" fontId="6" fillId="0" borderId="77" xfId="7" applyFont="1" applyFill="1" applyBorder="1" applyAlignment="1">
      <alignment horizontal="center" vertical="center"/>
    </xf>
    <xf numFmtId="0" fontId="6" fillId="0" borderId="75" xfId="7" applyFont="1" applyFill="1" applyBorder="1" applyAlignment="1">
      <alignment horizontal="center" vertical="center"/>
    </xf>
    <xf numFmtId="0" fontId="6" fillId="0" borderId="74" xfId="7" applyFont="1" applyFill="1" applyBorder="1" applyAlignment="1">
      <alignment horizontal="center" vertical="center"/>
    </xf>
    <xf numFmtId="0" fontId="23" fillId="0" borderId="0" xfId="7" applyFont="1" applyFill="1" applyBorder="1" applyAlignment="1">
      <alignment horizontal="left" vertical="center"/>
    </xf>
    <xf numFmtId="0" fontId="39" fillId="0" borderId="4" xfId="12" applyFont="1" applyBorder="1" applyAlignment="1">
      <alignment horizontal="center" vertical="center" wrapText="1"/>
    </xf>
    <xf numFmtId="0" fontId="6" fillId="0" borderId="19" xfId="12" applyFont="1" applyBorder="1" applyAlignment="1">
      <alignment horizontal="center" vertical="center"/>
    </xf>
    <xf numFmtId="0" fontId="24" fillId="0" borderId="19" xfId="12" applyFont="1" applyBorder="1" applyAlignment="1">
      <alignment horizontal="center"/>
    </xf>
    <xf numFmtId="0" fontId="6" fillId="0" borderId="19" xfId="12" applyFont="1" applyBorder="1" applyAlignment="1">
      <alignment horizontal="left" vertical="center" wrapText="1"/>
    </xf>
    <xf numFmtId="167" fontId="24" fillId="0" borderId="19" xfId="12" applyNumberFormat="1" applyFont="1" applyBorder="1" applyAlignment="1">
      <alignment horizontal="right" vertical="center"/>
    </xf>
    <xf numFmtId="0" fontId="6" fillId="0" borderId="19" xfId="12" applyFont="1" applyBorder="1" applyAlignment="1">
      <alignment horizontal="left" vertical="center"/>
    </xf>
    <xf numFmtId="0" fontId="7" fillId="0" borderId="19" xfId="12" applyFont="1" applyBorder="1" applyAlignment="1">
      <alignment horizontal="left" vertical="center"/>
    </xf>
    <xf numFmtId="167" fontId="40" fillId="0" borderId="19" xfId="12" applyNumberFormat="1" applyFont="1" applyBorder="1" applyAlignment="1">
      <alignment horizontal="right" vertical="center"/>
    </xf>
    <xf numFmtId="0" fontId="7" fillId="0" borderId="78" xfId="0" applyFont="1" applyBorder="1"/>
    <xf numFmtId="167" fontId="7" fillId="0" borderId="79" xfId="0" applyNumberFormat="1" applyFont="1" applyFill="1" applyBorder="1"/>
    <xf numFmtId="167" fontId="7" fillId="0" borderId="79" xfId="0" applyNumberFormat="1" applyFont="1" applyBorder="1"/>
    <xf numFmtId="167" fontId="7" fillId="0" borderId="80" xfId="0" applyNumberFormat="1" applyFont="1" applyBorder="1"/>
    <xf numFmtId="0" fontId="7" fillId="0" borderId="81" xfId="0" applyFont="1" applyBorder="1" applyAlignment="1">
      <alignment horizontal="left"/>
    </xf>
    <xf numFmtId="0" fontId="7" fillId="0" borderId="24" xfId="0" applyFont="1" applyFill="1" applyBorder="1" applyAlignment="1">
      <alignment horizontal="center"/>
    </xf>
    <xf numFmtId="170" fontId="7" fillId="0" borderId="82" xfId="8" applyNumberFormat="1" applyFont="1" applyFill="1" applyBorder="1" applyAlignment="1">
      <alignment horizontal="center" vertical="center"/>
    </xf>
    <xf numFmtId="0" fontId="7" fillId="0" borderId="83" xfId="0" applyFont="1" applyBorder="1" applyAlignment="1">
      <alignment horizontal="center"/>
    </xf>
    <xf numFmtId="0" fontId="6" fillId="0" borderId="22" xfId="4" applyFont="1" applyFill="1" applyBorder="1" applyAlignment="1">
      <alignment horizontal="center"/>
    </xf>
    <xf numFmtId="0" fontId="6" fillId="0" borderId="41" xfId="4" applyFont="1" applyFill="1" applyBorder="1"/>
    <xf numFmtId="0" fontId="6" fillId="0" borderId="41" xfId="4" applyFont="1" applyFill="1" applyBorder="1" applyAlignment="1">
      <alignment horizontal="center"/>
    </xf>
    <xf numFmtId="0" fontId="14" fillId="0" borderId="0" xfId="5" applyFont="1" applyFill="1"/>
    <xf numFmtId="0" fontId="14" fillId="0" borderId="0" xfId="5" applyFill="1" applyBorder="1"/>
    <xf numFmtId="42" fontId="4" fillId="0" borderId="0" xfId="5" applyNumberFormat="1" applyFont="1" applyFill="1" applyBorder="1"/>
    <xf numFmtId="0" fontId="6" fillId="0" borderId="10" xfId="4" quotePrefix="1" applyFont="1" applyFill="1" applyBorder="1" applyAlignment="1">
      <alignment horizontal="center"/>
    </xf>
    <xf numFmtId="0" fontId="6" fillId="0" borderId="0" xfId="7" quotePrefix="1" applyFont="1" applyFill="1" applyAlignment="1">
      <alignment horizontal="center"/>
    </xf>
    <xf numFmtId="0" fontId="1" fillId="0" borderId="73" xfId="12" applyFont="1" applyBorder="1" applyAlignment="1">
      <alignment horizontal="center" vertical="center" wrapText="1"/>
    </xf>
    <xf numFmtId="0" fontId="6" fillId="0" borderId="0" xfId="7" applyFont="1" applyFill="1" applyBorder="1" applyAlignment="1">
      <alignment horizontal="center" wrapText="1"/>
    </xf>
    <xf numFmtId="4" fontId="6" fillId="0" borderId="0" xfId="7" applyNumberFormat="1" applyFont="1" applyFill="1" applyBorder="1" applyAlignment="1" applyProtection="1">
      <alignment horizontal="center" wrapText="1"/>
    </xf>
    <xf numFmtId="0" fontId="6" fillId="0" borderId="64" xfId="0" applyFont="1" applyFill="1" applyBorder="1" applyAlignment="1">
      <alignment horizontal="right"/>
    </xf>
    <xf numFmtId="0" fontId="6" fillId="0" borderId="60" xfId="0" applyFont="1" applyFill="1" applyBorder="1" applyAlignment="1">
      <alignment horizontal="right"/>
    </xf>
    <xf numFmtId="0" fontId="6" fillId="0" borderId="61" xfId="0" applyFont="1" applyFill="1" applyBorder="1" applyAlignment="1">
      <alignment horizontal="right"/>
    </xf>
    <xf numFmtId="0" fontId="6" fillId="0" borderId="22" xfId="0" applyFont="1" applyFill="1" applyBorder="1" applyAlignment="1">
      <alignment horizontal="center" vertical="center" wrapText="1"/>
    </xf>
    <xf numFmtId="0" fontId="6" fillId="0" borderId="41" xfId="0" applyFont="1" applyFill="1" applyBorder="1" applyAlignment="1">
      <alignment horizontal="center" vertical="center" wrapText="1"/>
    </xf>
    <xf numFmtId="0" fontId="6" fillId="0" borderId="42" xfId="0" applyFont="1" applyFill="1" applyBorder="1" applyAlignment="1">
      <alignment horizontal="center" vertical="center" wrapText="1"/>
    </xf>
    <xf numFmtId="0" fontId="6" fillId="0" borderId="22" xfId="0" applyFont="1" applyFill="1" applyBorder="1" applyAlignment="1">
      <alignment horizontal="center" wrapText="1"/>
    </xf>
    <xf numFmtId="0" fontId="6" fillId="0" borderId="41" xfId="0" applyFont="1" applyFill="1" applyBorder="1" applyAlignment="1">
      <alignment horizontal="center" wrapText="1"/>
    </xf>
    <xf numFmtId="0" fontId="6" fillId="0" borderId="42" xfId="0" applyFont="1" applyFill="1" applyBorder="1" applyAlignment="1">
      <alignment horizontal="center" wrapText="1"/>
    </xf>
    <xf numFmtId="0" fontId="6" fillId="0" borderId="65" xfId="0" applyFont="1" applyFill="1" applyBorder="1" applyAlignment="1">
      <alignment horizontal="right"/>
    </xf>
    <xf numFmtId="0" fontId="6" fillId="0" borderId="62" xfId="0" applyFont="1" applyFill="1" applyBorder="1" applyAlignment="1">
      <alignment horizontal="right"/>
    </xf>
    <xf numFmtId="0" fontId="6" fillId="0" borderId="63" xfId="0" applyFont="1" applyFill="1" applyBorder="1" applyAlignment="1">
      <alignment horizontal="right"/>
    </xf>
    <xf numFmtId="0" fontId="7" fillId="0" borderId="66" xfId="0" applyFont="1" applyFill="1" applyBorder="1" applyAlignment="1">
      <alignment horizontal="center"/>
    </xf>
    <xf numFmtId="0" fontId="6" fillId="0" borderId="59" xfId="0" applyFont="1" applyFill="1" applyBorder="1" applyAlignment="1"/>
    <xf numFmtId="0" fontId="6" fillId="0" borderId="67" xfId="0" applyFont="1" applyFill="1" applyBorder="1" applyAlignment="1"/>
    <xf numFmtId="0" fontId="6" fillId="0" borderId="23" xfId="4" applyFont="1" applyBorder="1" applyAlignment="1">
      <alignment horizontal="center"/>
    </xf>
    <xf numFmtId="0" fontId="6" fillId="0" borderId="24" xfId="4" applyFont="1" applyBorder="1" applyAlignment="1">
      <alignment horizontal="center"/>
    </xf>
    <xf numFmtId="0" fontId="6" fillId="0" borderId="25" xfId="4" applyFont="1" applyBorder="1" applyAlignment="1">
      <alignment horizontal="center"/>
    </xf>
    <xf numFmtId="0" fontId="7" fillId="0" borderId="22" xfId="5" applyFont="1" applyBorder="1" applyAlignment="1">
      <alignment horizontal="center"/>
    </xf>
    <xf numFmtId="0" fontId="6" fillId="0" borderId="41" xfId="0" applyFont="1" applyBorder="1" applyAlignment="1"/>
    <xf numFmtId="0" fontId="6" fillId="0" borderId="42" xfId="0" applyFont="1" applyBorder="1" applyAlignment="1"/>
    <xf numFmtId="0" fontId="38" fillId="0" borderId="7" xfId="12" applyFont="1" applyBorder="1" applyAlignment="1">
      <alignment horizontal="center"/>
    </xf>
    <xf numFmtId="0" fontId="6" fillId="0" borderId="0" xfId="0" applyFont="1" applyAlignment="1">
      <alignment horizontal="left" wrapText="1"/>
    </xf>
    <xf numFmtId="0" fontId="28" fillId="2" borderId="35" xfId="6" applyFont="1" applyFill="1" applyBorder="1" applyAlignment="1">
      <alignment horizontal="center" vertical="center"/>
    </xf>
    <xf numFmtId="0" fontId="28" fillId="2" borderId="38" xfId="6" applyFont="1" applyFill="1" applyBorder="1" applyAlignment="1">
      <alignment horizontal="center" vertical="center"/>
    </xf>
    <xf numFmtId="0" fontId="28" fillId="2" borderId="33" xfId="6" applyFont="1" applyFill="1" applyBorder="1" applyAlignment="1">
      <alignment horizontal="center" vertical="center"/>
    </xf>
    <xf numFmtId="0" fontId="28" fillId="2" borderId="36" xfId="6" applyFont="1" applyFill="1" applyBorder="1" applyAlignment="1">
      <alignment horizontal="center" vertical="center"/>
    </xf>
    <xf numFmtId="0" fontId="28" fillId="2" borderId="34" xfId="6" applyFont="1" applyFill="1" applyBorder="1" applyAlignment="1">
      <alignment horizontal="center" vertical="center"/>
    </xf>
    <xf numFmtId="0" fontId="28" fillId="2" borderId="37" xfId="6" applyFont="1" applyFill="1" applyBorder="1" applyAlignment="1">
      <alignment horizontal="center" vertical="center"/>
    </xf>
    <xf numFmtId="0" fontId="28" fillId="2" borderId="6" xfId="6" applyFont="1" applyFill="1" applyBorder="1" applyAlignment="1">
      <alignment horizontal="center" vertical="center" wrapText="1"/>
    </xf>
    <xf numFmtId="0" fontId="28" fillId="2" borderId="70" xfId="6" applyFont="1" applyFill="1" applyBorder="1" applyAlignment="1">
      <alignment horizontal="center" vertical="center" wrapText="1"/>
    </xf>
    <xf numFmtId="0" fontId="28" fillId="2" borderId="34" xfId="6" applyFont="1" applyFill="1" applyBorder="1" applyAlignment="1">
      <alignment horizontal="center" vertical="center" wrapText="1"/>
    </xf>
    <xf numFmtId="0" fontId="7" fillId="0" borderId="33" xfId="0" applyFont="1" applyBorder="1" applyAlignment="1">
      <alignment horizontal="center" vertical="center" wrapText="1"/>
    </xf>
    <xf numFmtId="0" fontId="7" fillId="0" borderId="52" xfId="0" applyFont="1" applyBorder="1" applyAlignment="1">
      <alignment horizontal="center" vertical="center"/>
    </xf>
    <xf numFmtId="0" fontId="7" fillId="0" borderId="49" xfId="0" applyFont="1" applyFill="1" applyBorder="1" applyAlignment="1">
      <alignment horizontal="center" vertical="center" wrapText="1"/>
    </xf>
    <xf numFmtId="0" fontId="7" fillId="0" borderId="7" xfId="0" applyFont="1" applyFill="1" applyBorder="1" applyAlignment="1">
      <alignment horizontal="center" vertical="center" wrapText="1"/>
    </xf>
    <xf numFmtId="0" fontId="7" fillId="0" borderId="43" xfId="0" applyFont="1" applyFill="1" applyBorder="1" applyAlignment="1">
      <alignment horizontal="center" vertical="center" wrapText="1"/>
    </xf>
    <xf numFmtId="0" fontId="7" fillId="0" borderId="50" xfId="0" applyFont="1" applyFill="1" applyBorder="1" applyAlignment="1">
      <alignment horizontal="center" vertical="center" wrapText="1"/>
    </xf>
  </cellXfs>
  <cellStyles count="13">
    <cellStyle name="Currency" xfId="1" builtinId="4"/>
    <cellStyle name="Currency 2" xfId="2"/>
    <cellStyle name="Currency 3" xfId="3"/>
    <cellStyle name="Hyperlink 2" xfId="11"/>
    <cellStyle name="Normal" xfId="0" builtinId="0"/>
    <cellStyle name="Normal 2" xfId="4"/>
    <cellStyle name="Normal 20" xfId="12"/>
    <cellStyle name="Normal 3" xfId="10"/>
    <cellStyle name="Normal_Chino_Bond_SantaRitaPit_WorkingDraft_V1-03" xfId="9"/>
    <cellStyle name="Normal_ElectCost" xfId="5"/>
    <cellStyle name="Normal_Misc Unit Costs_WT_V2_w_o_overhead or profit" xfId="6"/>
    <cellStyle name="Normal_O&amp;M" xfId="7"/>
    <cellStyle name="Percent" xfId="8"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3.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12</xdr:col>
          <xdr:colOff>1112520</xdr:colOff>
          <xdr:row>40</xdr:row>
          <xdr:rowOff>38100</xdr:rowOff>
        </xdr:from>
        <xdr:to>
          <xdr:col>13</xdr:col>
          <xdr:colOff>1066800</xdr:colOff>
          <xdr:row>42</xdr:row>
          <xdr:rowOff>106680</xdr:rowOff>
        </xdr:to>
        <xdr:sp macro="" textlink="">
          <xdr:nvSpPr>
            <xdr:cNvPr id="1029" name="Object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Jphumphrey/Documents/CCP_Cobre/Appendix_C_WaterManagement/electronic/Storm_Water_Runoff_Estimations/Storm_Water_Runoff_Estimation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CCP_Cobre/2018%20updated%20files/working%20folder/Appendix%20D_electronic/Draft%202_NOBS%203ft%20cover_2%20ft%20on%20MTI/Cobre_WM_2018_UPC%20changes.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Jphumphrey/Documents/CCP_Cobre/Appendix_C_WaterManagement/electronic/Impacted_Water_Volumes_0409200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N85"/>
      <sheetName val="CN 62"/>
      <sheetName val="Cligen Precip"/>
    </sheetNames>
    <sheetDataSet>
      <sheetData sheetId="0">
        <row r="20">
          <cell r="E20">
            <v>48154.970151832626</v>
          </cell>
        </row>
      </sheetData>
      <sheetData sheetId="1">
        <row r="26">
          <cell r="E26">
            <v>2530.0950042206664</v>
          </cell>
        </row>
      </sheetData>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Reclamation and O&amp;M costs"/>
      <sheetName val="2 Sampling Cost"/>
      <sheetName val="3 WM cash flow"/>
      <sheetName val="4 Summary"/>
      <sheetName val="Unit Cost Table"/>
      <sheetName val="Summary Table"/>
    </sheetNames>
    <sheetDataSet>
      <sheetData sheetId="0">
        <row r="29">
          <cell r="P29">
            <v>78859</v>
          </cell>
        </row>
      </sheetData>
      <sheetData sheetId="1"/>
      <sheetData sheetId="2"/>
      <sheetData sheetId="3"/>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Page"/>
      <sheetName val="Annual Impacted Water Flow Rate"/>
      <sheetName val="Variables"/>
    </sheetNames>
    <sheetDataSet>
      <sheetData sheetId="0"/>
      <sheetData sheetId="1"/>
      <sheetData sheetId="2">
        <row r="17">
          <cell r="G17">
            <v>423634.06799999997</v>
          </cell>
        </row>
        <row r="21">
          <cell r="G21">
            <v>169453.62719999999</v>
          </cell>
        </row>
        <row r="22">
          <cell r="G22">
            <v>762541.32239999995</v>
          </cell>
        </row>
        <row r="24">
          <cell r="G24">
            <v>146642.56200000001</v>
          </cell>
        </row>
        <row r="37">
          <cell r="G37">
            <v>18001800.000000004</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C1:AT134"/>
  <sheetViews>
    <sheetView topLeftCell="D1" zoomScale="85" zoomScaleNormal="85" zoomScaleSheetLayoutView="55" workbookViewId="0">
      <selection activeCell="D14" sqref="D14"/>
    </sheetView>
  </sheetViews>
  <sheetFormatPr defaultColWidth="9" defaultRowHeight="13.2" x14ac:dyDescent="0.25"/>
  <cols>
    <col min="1" max="1" width="2.59765625" style="122" customWidth="1"/>
    <col min="2" max="3" width="9" style="122"/>
    <col min="4" max="4" width="25.59765625" style="122" customWidth="1"/>
    <col min="5" max="5" width="24.5" style="122" customWidth="1"/>
    <col min="6" max="6" width="14.3984375" style="122" bestFit="1" customWidth="1"/>
    <col min="7" max="7" width="17.59765625" style="122" bestFit="1" customWidth="1"/>
    <col min="8" max="8" width="12.59765625" style="122" customWidth="1"/>
    <col min="9" max="9" width="14.09765625" style="122" customWidth="1"/>
    <col min="10" max="10" width="23.09765625" style="122" customWidth="1"/>
    <col min="11" max="11" width="14.69921875" style="122" customWidth="1"/>
    <col min="12" max="12" width="18.296875" style="122" customWidth="1"/>
    <col min="13" max="13" width="15.59765625" style="122" customWidth="1"/>
    <col min="14" max="14" width="16.796875" style="122" customWidth="1"/>
    <col min="15" max="15" width="16.69921875" style="122" customWidth="1"/>
    <col min="16" max="16" width="18.296875" style="122" customWidth="1"/>
    <col min="17" max="17" width="14.59765625" style="122" customWidth="1"/>
    <col min="18" max="18" width="13.5" style="122" customWidth="1"/>
    <col min="19" max="19" width="16.3984375" style="122" customWidth="1"/>
    <col min="20" max="20" width="16.19921875" style="122" customWidth="1"/>
    <col min="21" max="21" width="16.796875" style="122" customWidth="1"/>
    <col min="22" max="22" width="4.3984375" style="122" customWidth="1"/>
    <col min="23" max="23" width="28" style="122" bestFit="1" customWidth="1"/>
    <col min="24" max="24" width="14.8984375" style="122" customWidth="1"/>
    <col min="25" max="25" width="16" style="122" bestFit="1" customWidth="1"/>
    <col min="26" max="26" width="12.09765625" style="122" customWidth="1"/>
    <col min="27" max="27" width="16" style="122" customWidth="1"/>
    <col min="28" max="28" width="15.69921875" style="122" customWidth="1"/>
    <col min="29" max="29" width="14.09765625" style="122" customWidth="1"/>
    <col min="30" max="31" width="13" style="122" customWidth="1"/>
    <col min="32" max="32" width="14.69921875" style="122" customWidth="1"/>
    <col min="33" max="33" width="14.3984375" style="122" customWidth="1"/>
    <col min="34" max="34" width="16.8984375" style="122" customWidth="1"/>
    <col min="35" max="35" width="18" style="122" customWidth="1"/>
    <col min="36" max="36" width="16.5" style="122" customWidth="1"/>
    <col min="37" max="37" width="12.59765625" style="122" customWidth="1"/>
    <col min="38" max="38" width="13.5" style="122" customWidth="1"/>
    <col min="39" max="39" width="15.09765625" style="122" customWidth="1"/>
    <col min="40" max="40" width="18.3984375" style="122" customWidth="1"/>
    <col min="41" max="41" width="17.09765625" style="122" customWidth="1"/>
    <col min="42" max="42" width="12.5" style="122" customWidth="1"/>
    <col min="43" max="44" width="17" style="122" customWidth="1"/>
    <col min="45" max="45" width="14" style="122" customWidth="1"/>
    <col min="46" max="46" width="13.3984375" style="122" customWidth="1"/>
    <col min="47" max="47" width="13.59765625" style="122" customWidth="1"/>
    <col min="48" max="48" width="16.59765625" style="122" customWidth="1"/>
    <col min="49" max="49" width="15.59765625" style="122" customWidth="1"/>
    <col min="50" max="50" width="12" style="122" customWidth="1"/>
    <col min="51" max="16384" width="9" style="122"/>
  </cols>
  <sheetData>
    <row r="1" spans="4:39" x14ac:dyDescent="0.25">
      <c r="D1" s="269"/>
      <c r="U1" s="175" t="str">
        <f>'4 Summary'!$E$1</f>
        <v>Continental Mine</v>
      </c>
      <c r="W1" s="175"/>
      <c r="AM1" s="175"/>
    </row>
    <row r="2" spans="4:39" x14ac:dyDescent="0.25">
      <c r="D2" s="132" t="s">
        <v>175</v>
      </c>
      <c r="U2" s="92" t="s">
        <v>177</v>
      </c>
      <c r="W2" s="74"/>
      <c r="AM2" s="74"/>
    </row>
    <row r="3" spans="4:39" x14ac:dyDescent="0.25">
      <c r="U3" s="270">
        <f>'4 Summary'!$E$3</f>
        <v>43553</v>
      </c>
      <c r="W3" s="270"/>
      <c r="AM3" s="270"/>
    </row>
    <row r="4" spans="4:39" ht="13.8" thickBot="1" x14ac:dyDescent="0.3">
      <c r="F4" s="132" t="s">
        <v>30</v>
      </c>
      <c r="G4" s="176"/>
    </row>
    <row r="5" spans="4:39" ht="14.4" thickTop="1" thickBot="1" x14ac:dyDescent="0.3">
      <c r="F5" s="408" t="s">
        <v>103</v>
      </c>
      <c r="G5" s="409"/>
      <c r="H5" s="409"/>
      <c r="I5" s="409"/>
      <c r="J5" s="409"/>
      <c r="K5" s="409"/>
      <c r="L5" s="409"/>
      <c r="M5" s="409"/>
      <c r="N5" s="410"/>
      <c r="O5" s="123" t="s">
        <v>104</v>
      </c>
    </row>
    <row r="6" spans="4:39" ht="13.8" thickTop="1" x14ac:dyDescent="0.25">
      <c r="F6" s="396" t="s">
        <v>20</v>
      </c>
      <c r="G6" s="397"/>
      <c r="H6" s="397"/>
      <c r="I6" s="397"/>
      <c r="J6" s="397"/>
      <c r="K6" s="397"/>
      <c r="L6" s="397"/>
      <c r="M6" s="397"/>
      <c r="N6" s="398"/>
      <c r="O6" s="124">
        <v>50</v>
      </c>
    </row>
    <row r="7" spans="4:39" x14ac:dyDescent="0.25">
      <c r="F7" s="396" t="s">
        <v>140</v>
      </c>
      <c r="G7" s="397"/>
      <c r="H7" s="397"/>
      <c r="I7" s="397"/>
      <c r="J7" s="397"/>
      <c r="K7" s="397"/>
      <c r="L7" s="397"/>
      <c r="M7" s="397"/>
      <c r="N7" s="398"/>
      <c r="O7" s="124">
        <v>30</v>
      </c>
    </row>
    <row r="8" spans="4:39" x14ac:dyDescent="0.25">
      <c r="F8" s="396" t="s">
        <v>137</v>
      </c>
      <c r="G8" s="397"/>
      <c r="H8" s="397"/>
      <c r="I8" s="397"/>
      <c r="J8" s="397"/>
      <c r="K8" s="397"/>
      <c r="L8" s="397"/>
      <c r="M8" s="397"/>
      <c r="N8" s="398"/>
      <c r="O8" s="124">
        <v>50</v>
      </c>
    </row>
    <row r="9" spans="4:39" x14ac:dyDescent="0.25">
      <c r="F9" s="396" t="s">
        <v>135</v>
      </c>
      <c r="G9" s="397"/>
      <c r="H9" s="397"/>
      <c r="I9" s="397"/>
      <c r="J9" s="397"/>
      <c r="K9" s="397"/>
      <c r="L9" s="397"/>
      <c r="M9" s="397"/>
      <c r="N9" s="398"/>
      <c r="O9" s="125">
        <v>20</v>
      </c>
    </row>
    <row r="10" spans="4:39" x14ac:dyDescent="0.25">
      <c r="F10" s="396" t="s">
        <v>53</v>
      </c>
      <c r="G10" s="397"/>
      <c r="H10" s="397"/>
      <c r="I10" s="397"/>
      <c r="J10" s="397"/>
      <c r="K10" s="397"/>
      <c r="L10" s="397"/>
      <c r="M10" s="397"/>
      <c r="N10" s="398"/>
      <c r="O10" s="124">
        <v>100</v>
      </c>
    </row>
    <row r="11" spans="4:39" x14ac:dyDescent="0.25">
      <c r="F11" s="396" t="s">
        <v>52</v>
      </c>
      <c r="G11" s="397"/>
      <c r="H11" s="397"/>
      <c r="I11" s="397"/>
      <c r="J11" s="397"/>
      <c r="K11" s="397"/>
      <c r="L11" s="397"/>
      <c r="M11" s="397"/>
      <c r="N11" s="398"/>
      <c r="O11" s="126">
        <v>0.7</v>
      </c>
    </row>
    <row r="12" spans="4:39" x14ac:dyDescent="0.25">
      <c r="F12" s="396" t="s">
        <v>101</v>
      </c>
      <c r="G12" s="397"/>
      <c r="H12" s="397"/>
      <c r="I12" s="397"/>
      <c r="J12" s="397"/>
      <c r="K12" s="397"/>
      <c r="L12" s="397"/>
      <c r="M12" s="397"/>
      <c r="N12" s="398"/>
      <c r="O12" s="127">
        <v>1</v>
      </c>
    </row>
    <row r="13" spans="4:39" x14ac:dyDescent="0.25">
      <c r="F13" s="396" t="s">
        <v>32</v>
      </c>
      <c r="G13" s="397"/>
      <c r="H13" s="397"/>
      <c r="I13" s="397"/>
      <c r="J13" s="397"/>
      <c r="K13" s="397"/>
      <c r="L13" s="397"/>
      <c r="M13" s="397"/>
      <c r="N13" s="398"/>
      <c r="O13" s="124">
        <v>150</v>
      </c>
    </row>
    <row r="14" spans="4:39" x14ac:dyDescent="0.25">
      <c r="F14" s="396" t="s">
        <v>34</v>
      </c>
      <c r="G14" s="397"/>
      <c r="H14" s="397"/>
      <c r="I14" s="397"/>
      <c r="J14" s="397"/>
      <c r="K14" s="397"/>
      <c r="L14" s="397"/>
      <c r="M14" s="397"/>
      <c r="N14" s="398"/>
      <c r="O14" s="124">
        <v>100</v>
      </c>
    </row>
    <row r="15" spans="4:39" x14ac:dyDescent="0.25">
      <c r="F15" s="396" t="s">
        <v>42</v>
      </c>
      <c r="G15" s="397"/>
      <c r="H15" s="397"/>
      <c r="I15" s="397"/>
      <c r="J15" s="397"/>
      <c r="K15" s="397"/>
      <c r="L15" s="397"/>
      <c r="M15" s="397"/>
      <c r="N15" s="398"/>
      <c r="O15" s="128">
        <v>1.4999999999999999E-2</v>
      </c>
    </row>
    <row r="16" spans="4:39" x14ac:dyDescent="0.25">
      <c r="F16" s="396" t="s">
        <v>41</v>
      </c>
      <c r="G16" s="397"/>
      <c r="H16" s="397"/>
      <c r="I16" s="397"/>
      <c r="J16" s="397"/>
      <c r="K16" s="397"/>
      <c r="L16" s="397"/>
      <c r="M16" s="397"/>
      <c r="N16" s="398"/>
      <c r="O16" s="128">
        <v>1.4999999999999999E-2</v>
      </c>
    </row>
    <row r="17" spans="3:23" x14ac:dyDescent="0.25">
      <c r="F17" s="396" t="s">
        <v>36</v>
      </c>
      <c r="G17" s="397"/>
      <c r="H17" s="397"/>
      <c r="I17" s="397"/>
      <c r="J17" s="397"/>
      <c r="K17" s="397"/>
      <c r="L17" s="397"/>
      <c r="M17" s="397"/>
      <c r="N17" s="398"/>
      <c r="O17" s="128">
        <v>0.01</v>
      </c>
    </row>
    <row r="18" spans="3:23" x14ac:dyDescent="0.25">
      <c r="F18" s="396" t="s">
        <v>40</v>
      </c>
      <c r="G18" s="397"/>
      <c r="H18" s="397"/>
      <c r="I18" s="397"/>
      <c r="J18" s="397"/>
      <c r="K18" s="397"/>
      <c r="L18" s="397"/>
      <c r="M18" s="397"/>
      <c r="N18" s="398"/>
      <c r="O18" s="128">
        <v>1.4999999999999999E-2</v>
      </c>
    </row>
    <row r="19" spans="3:23" x14ac:dyDescent="0.25">
      <c r="F19" s="396" t="s">
        <v>186</v>
      </c>
      <c r="G19" s="397"/>
      <c r="H19" s="397"/>
      <c r="I19" s="397"/>
      <c r="J19" s="397"/>
      <c r="K19" s="397"/>
      <c r="L19" s="397"/>
      <c r="M19" s="397"/>
      <c r="N19" s="398"/>
      <c r="O19" s="124">
        <f>[1]CN85!E$20</f>
        <v>48154.970151832626</v>
      </c>
    </row>
    <row r="20" spans="3:23" x14ac:dyDescent="0.25">
      <c r="F20" s="396" t="s">
        <v>154</v>
      </c>
      <c r="G20" s="397"/>
      <c r="H20" s="397"/>
      <c r="I20" s="397"/>
      <c r="J20" s="397"/>
      <c r="K20" s="397"/>
      <c r="L20" s="397"/>
      <c r="M20" s="397"/>
      <c r="N20" s="398"/>
      <c r="O20" s="124">
        <v>2530.0950042206664</v>
      </c>
    </row>
    <row r="21" spans="3:23" x14ac:dyDescent="0.25">
      <c r="F21" s="396" t="s">
        <v>321</v>
      </c>
      <c r="G21" s="397"/>
      <c r="H21" s="397"/>
      <c r="I21" s="397"/>
      <c r="J21" s="397"/>
      <c r="K21" s="397"/>
      <c r="L21" s="397"/>
      <c r="M21" s="397"/>
      <c r="N21" s="398"/>
      <c r="O21" s="129">
        <v>-6</v>
      </c>
      <c r="U21" s="271"/>
    </row>
    <row r="22" spans="3:23" x14ac:dyDescent="0.25">
      <c r="F22" s="396" t="s">
        <v>326</v>
      </c>
      <c r="G22" s="397"/>
      <c r="H22" s="397"/>
      <c r="I22" s="397"/>
      <c r="J22" s="397"/>
      <c r="K22" s="397"/>
      <c r="L22" s="397"/>
      <c r="M22" s="397"/>
      <c r="N22" s="398"/>
      <c r="O22" s="129">
        <v>0</v>
      </c>
      <c r="U22" s="271"/>
    </row>
    <row r="23" spans="3:23" x14ac:dyDescent="0.25">
      <c r="F23" s="396" t="s">
        <v>327</v>
      </c>
      <c r="G23" s="397"/>
      <c r="H23" s="397"/>
      <c r="I23" s="397"/>
      <c r="J23" s="397"/>
      <c r="K23" s="397"/>
      <c r="L23" s="397"/>
      <c r="M23" s="397"/>
      <c r="N23" s="398"/>
      <c r="O23" s="129">
        <f>O22+5</f>
        <v>5</v>
      </c>
      <c r="U23" s="271"/>
    </row>
    <row r="24" spans="3:23" ht="13.8" thickBot="1" x14ac:dyDescent="0.3">
      <c r="F24" s="405" t="s">
        <v>328</v>
      </c>
      <c r="G24" s="406"/>
      <c r="H24" s="406"/>
      <c r="I24" s="406"/>
      <c r="J24" s="406"/>
      <c r="K24" s="406"/>
      <c r="L24" s="406"/>
      <c r="M24" s="406"/>
      <c r="N24" s="407"/>
      <c r="O24" s="130">
        <f>O22+12</f>
        <v>12</v>
      </c>
      <c r="T24" s="271"/>
    </row>
    <row r="25" spans="3:23" ht="13.8" thickTop="1" x14ac:dyDescent="0.25">
      <c r="G25" s="131"/>
      <c r="T25" s="271"/>
    </row>
    <row r="26" spans="3:23" ht="13.8" thickBot="1" x14ac:dyDescent="0.3">
      <c r="C26" s="132"/>
      <c r="D26" s="132" t="s">
        <v>252</v>
      </c>
      <c r="F26" s="175"/>
      <c r="R26" s="136"/>
    </row>
    <row r="27" spans="3:23" s="202" customFormat="1" ht="52.8" x14ac:dyDescent="0.3">
      <c r="D27" s="180" t="s">
        <v>6</v>
      </c>
      <c r="E27" s="134"/>
      <c r="F27" s="134"/>
      <c r="G27" s="134" t="s">
        <v>22</v>
      </c>
      <c r="H27" s="134" t="s">
        <v>19</v>
      </c>
      <c r="I27" s="134" t="s">
        <v>64</v>
      </c>
      <c r="J27" s="134" t="s">
        <v>243</v>
      </c>
      <c r="K27" s="134" t="s">
        <v>242</v>
      </c>
      <c r="L27" s="134" t="s">
        <v>241</v>
      </c>
      <c r="M27" s="134" t="s">
        <v>329</v>
      </c>
      <c r="N27" s="134" t="s">
        <v>330</v>
      </c>
      <c r="O27" s="134" t="s">
        <v>54</v>
      </c>
      <c r="P27" s="135" t="s">
        <v>240</v>
      </c>
      <c r="Q27" s="272" t="s">
        <v>291</v>
      </c>
      <c r="R27" s="272" t="s">
        <v>337</v>
      </c>
      <c r="S27" s="181" t="s">
        <v>336</v>
      </c>
      <c r="T27" s="136"/>
      <c r="W27" s="136"/>
    </row>
    <row r="28" spans="3:23" x14ac:dyDescent="0.25">
      <c r="D28" s="137" t="s">
        <v>7</v>
      </c>
      <c r="E28" s="273"/>
      <c r="F28" s="273"/>
      <c r="G28" s="138" t="s">
        <v>128</v>
      </c>
      <c r="H28" s="139">
        <v>1116800</v>
      </c>
      <c r="I28" s="139">
        <f>H28/7.48/27</f>
        <v>5529.8078827490581</v>
      </c>
      <c r="J28" s="139" t="s">
        <v>51</v>
      </c>
      <c r="K28" s="140">
        <v>19</v>
      </c>
      <c r="L28" s="140">
        <f>K28+'1 Reclamation and O&amp;M costs'!$O$22-'1 Reclamation and O&amp;M costs'!$O$21</f>
        <v>25</v>
      </c>
      <c r="M28" s="140">
        <f>I45</f>
        <v>12</v>
      </c>
      <c r="N28" s="139" t="str">
        <f>IF(($O$8-L28)&gt;M28,"-",IF(($O$8-L28)&lt;0,0,($O$8-L28)))</f>
        <v>-</v>
      </c>
      <c r="O28" s="139">
        <f t="shared" ref="O28:O37" si="0">COUNT(N28:N28)</f>
        <v>0</v>
      </c>
      <c r="P28" s="141">
        <f>'Unit Cost Table'!$D$18</f>
        <v>79832.5</v>
      </c>
      <c r="Q28" s="142">
        <f>P28*O28</f>
        <v>0</v>
      </c>
      <c r="R28" s="142">
        <f>P28*$O$15</f>
        <v>1197.4875</v>
      </c>
      <c r="S28" s="166">
        <f t="shared" ref="S28:S37" si="1">R28*(M28+1)</f>
        <v>15567.3375</v>
      </c>
      <c r="T28" s="142"/>
      <c r="W28" s="142"/>
    </row>
    <row r="29" spans="3:23" x14ac:dyDescent="0.25">
      <c r="D29" s="143" t="s">
        <v>8</v>
      </c>
      <c r="E29" s="162"/>
      <c r="F29" s="162"/>
      <c r="G29" s="138" t="s">
        <v>128</v>
      </c>
      <c r="H29" s="139">
        <v>827700</v>
      </c>
      <c r="I29" s="139">
        <f t="shared" ref="I29:I36" si="2">H29/7.48/27</f>
        <v>4098.3363042186575</v>
      </c>
      <c r="J29" s="139" t="s">
        <v>51</v>
      </c>
      <c r="K29" s="140">
        <v>19</v>
      </c>
      <c r="L29" s="140">
        <f>K29+'1 Reclamation and O&amp;M costs'!$O$22-'1 Reclamation and O&amp;M costs'!$O$21</f>
        <v>25</v>
      </c>
      <c r="M29" s="140">
        <f>I46</f>
        <v>12</v>
      </c>
      <c r="N29" s="139" t="str">
        <f>IF(($O$8-L29)&gt;M29,"-",IF(($O$8-L29)&lt;0,0,($O$8-L29)))</f>
        <v>-</v>
      </c>
      <c r="O29" s="139">
        <f t="shared" si="0"/>
        <v>0</v>
      </c>
      <c r="P29" s="141">
        <f>'Unit Cost Table'!$D$18</f>
        <v>79832.5</v>
      </c>
      <c r="Q29" s="142">
        <f t="shared" ref="Q29:Q37" si="3">P29*O29</f>
        <v>0</v>
      </c>
      <c r="R29" s="142">
        <f t="shared" ref="R29:R37" si="4">P29*$O$15</f>
        <v>1197.4875</v>
      </c>
      <c r="S29" s="166">
        <f t="shared" si="1"/>
        <v>15567.3375</v>
      </c>
      <c r="T29" s="142"/>
      <c r="W29" s="142"/>
    </row>
    <row r="30" spans="3:23" x14ac:dyDescent="0.25">
      <c r="D30" s="143" t="s">
        <v>9</v>
      </c>
      <c r="E30" s="162"/>
      <c r="F30" s="162"/>
      <c r="G30" s="138" t="s">
        <v>128</v>
      </c>
      <c r="H30" s="139">
        <v>2925300</v>
      </c>
      <c r="I30" s="139">
        <f t="shared" si="2"/>
        <v>14484.551396316101</v>
      </c>
      <c r="J30" s="139" t="s">
        <v>51</v>
      </c>
      <c r="K30" s="140">
        <v>19</v>
      </c>
      <c r="L30" s="140">
        <f>K30+'1 Reclamation and O&amp;M costs'!$O$22-'1 Reclamation and O&amp;M costs'!$O$21</f>
        <v>25</v>
      </c>
      <c r="M30" s="140">
        <f>I47</f>
        <v>12</v>
      </c>
      <c r="N30" s="139" t="str">
        <f>IF(($O$8-L30)&gt;M30,"-",IF(($O$8-L30)&lt;0,0,($O$8-L30)))</f>
        <v>-</v>
      </c>
      <c r="O30" s="139">
        <f t="shared" si="0"/>
        <v>0</v>
      </c>
      <c r="P30" s="141">
        <f>'Unit Cost Table'!$D$18</f>
        <v>79832.5</v>
      </c>
      <c r="Q30" s="142">
        <f>P30*O30</f>
        <v>0</v>
      </c>
      <c r="R30" s="142">
        <f t="shared" si="4"/>
        <v>1197.4875</v>
      </c>
      <c r="S30" s="166">
        <f t="shared" si="1"/>
        <v>15567.3375</v>
      </c>
      <c r="T30" s="142"/>
      <c r="W30" s="142"/>
    </row>
    <row r="31" spans="3:23" x14ac:dyDescent="0.25">
      <c r="D31" s="143" t="s">
        <v>92</v>
      </c>
      <c r="E31" s="162"/>
      <c r="F31" s="162"/>
      <c r="G31" s="138" t="s">
        <v>127</v>
      </c>
      <c r="H31" s="139">
        <v>972500</v>
      </c>
      <c r="I31" s="139">
        <f t="shared" si="2"/>
        <v>4815.3099623687858</v>
      </c>
      <c r="J31" s="144">
        <v>0.62</v>
      </c>
      <c r="K31" s="140">
        <v>19</v>
      </c>
      <c r="L31" s="140">
        <f>K31+'1 Reclamation and O&amp;M costs'!$O$22-'1 Reclamation and O&amp;M costs'!$O$21</f>
        <v>25</v>
      </c>
      <c r="M31" s="140">
        <f>I48</f>
        <v>12</v>
      </c>
      <c r="N31" s="139">
        <f>IF(($O$7-L31)&gt;M31,"-",IF(($O$7-L31)&lt;0,0,($O$7-L31)))</f>
        <v>5</v>
      </c>
      <c r="O31" s="139">
        <f t="shared" si="0"/>
        <v>1</v>
      </c>
      <c r="P31" s="141">
        <f>('Unit Cost Table'!$D$17*J31*43560*2+'Unit Cost Table'!$D$16*I31/3)</f>
        <v>86588.606810061392</v>
      </c>
      <c r="Q31" s="142">
        <f>P31*O31</f>
        <v>86588.606810061392</v>
      </c>
      <c r="R31" s="142">
        <f t="shared" si="4"/>
        <v>1298.8291021509208</v>
      </c>
      <c r="S31" s="166">
        <f t="shared" si="1"/>
        <v>16884.778327961969</v>
      </c>
      <c r="T31" s="142"/>
      <c r="W31" s="142"/>
    </row>
    <row r="32" spans="3:23" x14ac:dyDescent="0.25">
      <c r="D32" s="143" t="s">
        <v>123</v>
      </c>
      <c r="E32" s="162"/>
      <c r="F32" s="162"/>
      <c r="G32" s="138" t="s">
        <v>127</v>
      </c>
      <c r="H32" s="139">
        <v>1879200</v>
      </c>
      <c r="I32" s="139">
        <f t="shared" si="2"/>
        <v>9304.8128342245982</v>
      </c>
      <c r="J32" s="144">
        <v>1.29</v>
      </c>
      <c r="K32" s="140">
        <v>0</v>
      </c>
      <c r="L32" s="140">
        <f>K32+'1 Reclamation and O&amp;M costs'!$O$22-'1 Reclamation and O&amp;M costs'!$O$21</f>
        <v>6</v>
      </c>
      <c r="M32" s="140">
        <f>I55</f>
        <v>12</v>
      </c>
      <c r="N32" s="139" t="str">
        <f>IF(($O$7-L32)&gt;M32,"-",IF(($O$7-L32)&lt;0,0,($O$7-L32)))</f>
        <v>-</v>
      </c>
      <c r="O32" s="139">
        <f t="shared" si="0"/>
        <v>0</v>
      </c>
      <c r="P32" s="141">
        <f>('Unit Cost Table'!$D$17*J32*43560*2+'Unit Cost Table'!$D$16*I32/3)</f>
        <v>178453.37467379679</v>
      </c>
      <c r="Q32" s="142">
        <f>P32*O32</f>
        <v>0</v>
      </c>
      <c r="R32" s="142">
        <f t="shared" si="4"/>
        <v>2676.8006201069516</v>
      </c>
      <c r="S32" s="166">
        <f t="shared" si="1"/>
        <v>34798.408061390372</v>
      </c>
      <c r="T32" s="142"/>
      <c r="W32" s="142"/>
    </row>
    <row r="33" spans="3:28" x14ac:dyDescent="0.25">
      <c r="D33" s="143" t="s">
        <v>13</v>
      </c>
      <c r="E33" s="162"/>
      <c r="F33" s="162"/>
      <c r="G33" s="138" t="s">
        <v>127</v>
      </c>
      <c r="H33" s="139">
        <v>911600</v>
      </c>
      <c r="I33" s="139">
        <f t="shared" si="2"/>
        <v>4513.7651020003959</v>
      </c>
      <c r="J33" s="144">
        <v>0.38</v>
      </c>
      <c r="K33" s="140">
        <v>29</v>
      </c>
      <c r="L33" s="140">
        <f>K33+'1 Reclamation and O&amp;M costs'!$O$22-'1 Reclamation and O&amp;M costs'!$O$21</f>
        <v>35</v>
      </c>
      <c r="M33" s="140">
        <f>I56</f>
        <v>12</v>
      </c>
      <c r="N33" s="139">
        <f>IF(($O$7-L33)&gt;M33,"-",IF(($O$7-L33)&lt;0,0,($O$7-L33)))</f>
        <v>0</v>
      </c>
      <c r="O33" s="139">
        <f t="shared" si="0"/>
        <v>1</v>
      </c>
      <c r="P33" s="141">
        <f>('Unit Cost Table'!$D$17*J33*43560*2+'Unit Cost Table'!$D$16*I33/3)</f>
        <v>56804.682593780948</v>
      </c>
      <c r="Q33" s="142">
        <f>P33*O33</f>
        <v>56804.682593780948</v>
      </c>
      <c r="R33" s="142">
        <f t="shared" si="4"/>
        <v>852.07023890671417</v>
      </c>
      <c r="S33" s="166">
        <f t="shared" si="1"/>
        <v>11076.913105787284</v>
      </c>
      <c r="T33" s="142"/>
      <c r="W33" s="142"/>
    </row>
    <row r="34" spans="3:28" x14ac:dyDescent="0.25">
      <c r="D34" s="143" t="s">
        <v>15</v>
      </c>
      <c r="E34" s="162"/>
      <c r="F34" s="162"/>
      <c r="G34" s="138" t="s">
        <v>25</v>
      </c>
      <c r="H34" s="139">
        <v>25000</v>
      </c>
      <c r="I34" s="139">
        <f t="shared" si="2"/>
        <v>123.78688849277084</v>
      </c>
      <c r="J34" s="146" t="s">
        <v>51</v>
      </c>
      <c r="K34" s="140">
        <v>29</v>
      </c>
      <c r="L34" s="140">
        <f>K34+'1 Reclamation and O&amp;M costs'!$O$22-'1 Reclamation and O&amp;M costs'!$O$21</f>
        <v>35</v>
      </c>
      <c r="M34" s="140">
        <f>I57</f>
        <v>9</v>
      </c>
      <c r="N34" s="139">
        <f>IF(($O$7-L34)&gt;M34,"-",IF(($O$7-L34)&lt;0,0,($O$7-L34)))</f>
        <v>0</v>
      </c>
      <c r="O34" s="139">
        <f t="shared" si="0"/>
        <v>1</v>
      </c>
      <c r="P34" s="141">
        <f>('Unit Cost Table'!$D$16*I34/3)</f>
        <v>295.85066349772234</v>
      </c>
      <c r="Q34" s="142">
        <f>P34*O34</f>
        <v>295.85066349772234</v>
      </c>
      <c r="R34" s="142">
        <f t="shared" si="4"/>
        <v>4.4377599524658349</v>
      </c>
      <c r="S34" s="166">
        <f t="shared" si="1"/>
        <v>44.377599524658351</v>
      </c>
      <c r="T34" s="142"/>
      <c r="W34" s="142"/>
    </row>
    <row r="35" spans="3:28" x14ac:dyDescent="0.25">
      <c r="D35" s="143" t="s">
        <v>187</v>
      </c>
      <c r="E35" s="162"/>
      <c r="F35" s="162"/>
      <c r="G35" s="138" t="s">
        <v>24</v>
      </c>
      <c r="H35" s="139">
        <v>352500</v>
      </c>
      <c r="I35" s="139">
        <f t="shared" si="2"/>
        <v>1745.3951277480689</v>
      </c>
      <c r="J35" s="146" t="s">
        <v>51</v>
      </c>
      <c r="K35" s="140">
        <v>49</v>
      </c>
      <c r="L35" s="140">
        <f>K35+'1 Reclamation and O&amp;M costs'!$O$22-'1 Reclamation and O&amp;M costs'!$O$21</f>
        <v>55</v>
      </c>
      <c r="M35" s="140">
        <f>$O$24-$O$22</f>
        <v>12</v>
      </c>
      <c r="N35" s="139">
        <f>IF(($O$6-L35)&gt;M35,"-",IF(($O$6-L35)&lt;0,0,($O$6-L35)))</f>
        <v>0</v>
      </c>
      <c r="O35" s="139">
        <f t="shared" si="0"/>
        <v>1</v>
      </c>
      <c r="P35" s="141">
        <v>0</v>
      </c>
      <c r="Q35" s="142">
        <f t="shared" si="3"/>
        <v>0</v>
      </c>
      <c r="R35" s="142">
        <f>'Unit Cost Table'!D19*$O$15</f>
        <v>4866.8850000000002</v>
      </c>
      <c r="S35" s="166">
        <f t="shared" si="1"/>
        <v>63269.505000000005</v>
      </c>
      <c r="T35" s="142"/>
      <c r="W35" s="142"/>
      <c r="X35" s="216"/>
    </row>
    <row r="36" spans="3:28" x14ac:dyDescent="0.25">
      <c r="D36" s="143" t="s">
        <v>185</v>
      </c>
      <c r="E36" s="162"/>
      <c r="F36" s="162"/>
      <c r="G36" s="138" t="s">
        <v>127</v>
      </c>
      <c r="H36" s="139">
        <v>9600</v>
      </c>
      <c r="I36" s="139">
        <f t="shared" si="2"/>
        <v>47.534165181223997</v>
      </c>
      <c r="J36" s="144">
        <v>0.2</v>
      </c>
      <c r="K36" s="140">
        <v>29</v>
      </c>
      <c r="L36" s="140">
        <f>K36+'1 Reclamation and O&amp;M costs'!$O$22-'1 Reclamation and O&amp;M costs'!$O$21</f>
        <v>35</v>
      </c>
      <c r="M36" s="140">
        <f>I52</f>
        <v>12</v>
      </c>
      <c r="N36" s="139">
        <f>IF(($O$7-L36)&gt;M36,"-",IF(($O$7-L36)&lt;0,0,($O$7-L36)))</f>
        <v>0</v>
      </c>
      <c r="O36" s="139">
        <f t="shared" si="0"/>
        <v>1</v>
      </c>
      <c r="P36" s="141">
        <f>('Unit Cost Table'!$D$17*J36*43560*2+'Unit Cost Table'!$D$16*I36/3)</f>
        <v>24332.966654783122</v>
      </c>
      <c r="Q36" s="142">
        <f t="shared" si="3"/>
        <v>24332.966654783122</v>
      </c>
      <c r="R36" s="142">
        <f t="shared" si="4"/>
        <v>364.99449982174684</v>
      </c>
      <c r="S36" s="166">
        <f t="shared" si="1"/>
        <v>4744.9284976827093</v>
      </c>
      <c r="T36" s="142"/>
      <c r="W36" s="142"/>
    </row>
    <row r="37" spans="3:28" ht="13.8" thickBot="1" x14ac:dyDescent="0.3">
      <c r="D37" s="148" t="s">
        <v>184</v>
      </c>
      <c r="E37" s="171"/>
      <c r="F37" s="171"/>
      <c r="G37" s="149" t="s">
        <v>23</v>
      </c>
      <c r="H37" s="150">
        <v>900000</v>
      </c>
      <c r="I37" s="150">
        <f>H37/7.48/27</f>
        <v>4456.3279857397501</v>
      </c>
      <c r="J37" s="151">
        <v>0.5</v>
      </c>
      <c r="K37" s="152">
        <v>-1</v>
      </c>
      <c r="L37" s="152">
        <f>K37+'1 Reclamation and O&amp;M costs'!$O$22-'1 Reclamation and O&amp;M costs'!$O$21</f>
        <v>5</v>
      </c>
      <c r="M37" s="152">
        <f>I60</f>
        <v>12</v>
      </c>
      <c r="N37" s="150" t="str">
        <f>IF(($O$7-L37)&gt;M37,"-",IF(($O$7-L37)&lt;0,0,($O$7-L37)))</f>
        <v>-</v>
      </c>
      <c r="O37" s="150">
        <f t="shared" si="0"/>
        <v>0</v>
      </c>
      <c r="P37" s="153">
        <f>('Unit Cost Table'!$D$17*J37*43560*2+'Unit Cost Table'!$D$16*I37/3)</f>
        <v>71199.023885917995</v>
      </c>
      <c r="Q37" s="154">
        <f t="shared" si="3"/>
        <v>0</v>
      </c>
      <c r="R37" s="154">
        <f t="shared" si="4"/>
        <v>1067.9853582887699</v>
      </c>
      <c r="S37" s="191">
        <f t="shared" si="1"/>
        <v>13883.809657754009</v>
      </c>
      <c r="T37" s="142"/>
      <c r="W37" s="142"/>
    </row>
    <row r="38" spans="3:28" x14ac:dyDescent="0.25">
      <c r="D38" s="122" t="s">
        <v>125</v>
      </c>
      <c r="G38" s="155"/>
      <c r="O38" s="156" t="s">
        <v>284</v>
      </c>
      <c r="P38" s="274" t="s">
        <v>51</v>
      </c>
      <c r="Q38" s="157" t="s">
        <v>51</v>
      </c>
      <c r="R38" s="158">
        <f>SUM(R28:R37)</f>
        <v>14724.465079227568</v>
      </c>
      <c r="S38" s="193" t="s">
        <v>51</v>
      </c>
      <c r="T38" s="157"/>
      <c r="W38" s="157"/>
    </row>
    <row r="39" spans="3:28" ht="13.8" thickBot="1" x14ac:dyDescent="0.3">
      <c r="D39" s="122" t="s">
        <v>150</v>
      </c>
      <c r="G39" s="155"/>
      <c r="O39" s="156" t="s">
        <v>126</v>
      </c>
      <c r="P39" s="275" t="s">
        <v>51</v>
      </c>
      <c r="Q39" s="154">
        <f>SUM(Q28:Q37)</f>
        <v>168022.10672212319</v>
      </c>
      <c r="R39" s="159" t="s">
        <v>51</v>
      </c>
      <c r="S39" s="191">
        <f>SUM(S28:S37)</f>
        <v>191404.73275010099</v>
      </c>
      <c r="T39" s="160"/>
      <c r="W39" s="160"/>
      <c r="X39" s="216"/>
    </row>
    <row r="40" spans="3:28" x14ac:dyDescent="0.25">
      <c r="D40" s="155" t="s">
        <v>275</v>
      </c>
      <c r="K40" s="276"/>
      <c r="L40" s="176"/>
      <c r="M40" s="176"/>
      <c r="P40" s="161"/>
      <c r="Q40" s="161"/>
      <c r="R40" s="161"/>
      <c r="S40" s="161"/>
      <c r="T40" s="161"/>
      <c r="U40" s="122">
        <f>IF(P40/0.856='[2]1 Reclamation and O&amp;M costs'!P41,1,999)</f>
        <v>1</v>
      </c>
      <c r="W40" s="161"/>
      <c r="Y40" s="178"/>
      <c r="Z40" s="178"/>
      <c r="AA40" s="178"/>
      <c r="AB40" s="178"/>
    </row>
    <row r="41" spans="3:28" x14ac:dyDescent="0.25">
      <c r="F41" s="175"/>
      <c r="O41" s="277"/>
      <c r="Q41" s="277"/>
    </row>
    <row r="42" spans="3:28" x14ac:dyDescent="0.25">
      <c r="F42" s="175"/>
    </row>
    <row r="43" spans="3:28" ht="13.8" thickBot="1" x14ac:dyDescent="0.3">
      <c r="C43" s="132"/>
      <c r="D43" s="132" t="s">
        <v>133</v>
      </c>
      <c r="U43" s="278"/>
    </row>
    <row r="44" spans="3:28" s="202" customFormat="1" ht="66" x14ac:dyDescent="0.3">
      <c r="D44" s="180" t="s">
        <v>28</v>
      </c>
      <c r="E44" s="134" t="s">
        <v>27</v>
      </c>
      <c r="F44" s="134" t="s">
        <v>1</v>
      </c>
      <c r="G44" s="134" t="s">
        <v>157</v>
      </c>
      <c r="H44" s="134" t="s">
        <v>158</v>
      </c>
      <c r="I44" s="134" t="s">
        <v>331</v>
      </c>
      <c r="J44" s="134" t="s">
        <v>285</v>
      </c>
      <c r="K44" s="134" t="s">
        <v>54</v>
      </c>
      <c r="L44" s="134" t="s">
        <v>131</v>
      </c>
      <c r="M44" s="134" t="s">
        <v>93</v>
      </c>
      <c r="N44" s="134" t="s">
        <v>94</v>
      </c>
      <c r="O44" s="134" t="s">
        <v>95</v>
      </c>
      <c r="P44" s="134" t="s">
        <v>322</v>
      </c>
      <c r="Q44" s="134" t="s">
        <v>162</v>
      </c>
      <c r="R44" s="134" t="s">
        <v>159</v>
      </c>
      <c r="S44" s="134" t="s">
        <v>181</v>
      </c>
      <c r="T44" s="134" t="s">
        <v>244</v>
      </c>
      <c r="U44" s="279" t="s">
        <v>176</v>
      </c>
      <c r="V44" s="280"/>
    </row>
    <row r="45" spans="3:28" x14ac:dyDescent="0.25">
      <c r="D45" s="143" t="s">
        <v>7</v>
      </c>
      <c r="E45" s="162" t="s">
        <v>9</v>
      </c>
      <c r="F45" s="140">
        <v>2</v>
      </c>
      <c r="G45" s="140">
        <f>11+4</f>
        <v>15</v>
      </c>
      <c r="H45" s="140">
        <f>G45+'1 Reclamation and O&amp;M costs'!$O$22-'1 Reclamation and O&amp;M costs'!$O$21</f>
        <v>21</v>
      </c>
      <c r="I45" s="140">
        <f>$O$24-$O$22</f>
        <v>12</v>
      </c>
      <c r="J45" s="139">
        <v>-1</v>
      </c>
      <c r="K45" s="140">
        <f>COUNT(J45)</f>
        <v>1</v>
      </c>
      <c r="L45" s="140">
        <v>1760</v>
      </c>
      <c r="M45" s="140">
        <v>6650</v>
      </c>
      <c r="N45" s="140">
        <v>6719</v>
      </c>
      <c r="O45" s="163">
        <f t="shared" ref="O45:O55" si="5">10.44*(L45)^1.85/($O$13^1.85*H95^4.865)*G95</f>
        <v>60.540893130595244</v>
      </c>
      <c r="P45" s="163">
        <f>(N45-M45)+O45</f>
        <v>129.54089313059524</v>
      </c>
      <c r="Q45" s="139">
        <f>(L45*P45)/3960/$O$11</f>
        <v>82.248186114663653</v>
      </c>
      <c r="R45" s="139">
        <f>Q45*0.7457</f>
        <v>61.332472385704691</v>
      </c>
      <c r="S45" s="164">
        <v>120.9</v>
      </c>
      <c r="T45" s="163">
        <v>0</v>
      </c>
      <c r="U45" s="165">
        <f>'Unit Cost Table'!$D$23*F45</f>
        <v>60000</v>
      </c>
      <c r="V45" s="141"/>
    </row>
    <row r="46" spans="3:28" x14ac:dyDescent="0.25">
      <c r="D46" s="143" t="s">
        <v>8</v>
      </c>
      <c r="E46" s="162" t="s">
        <v>9</v>
      </c>
      <c r="F46" s="140">
        <v>2</v>
      </c>
      <c r="G46" s="140">
        <f t="shared" ref="G46:G47" si="6">11+4</f>
        <v>15</v>
      </c>
      <c r="H46" s="140">
        <f>G46+'1 Reclamation and O&amp;M costs'!$O$22-'1 Reclamation and O&amp;M costs'!$O$21</f>
        <v>21</v>
      </c>
      <c r="I46" s="140">
        <f>$O$24-$O$22</f>
        <v>12</v>
      </c>
      <c r="J46" s="139">
        <v>-1</v>
      </c>
      <c r="K46" s="140">
        <f t="shared" ref="K46:K60" si="7">COUNT(J46)</f>
        <v>1</v>
      </c>
      <c r="L46" s="140">
        <v>1940</v>
      </c>
      <c r="M46" s="140">
        <v>6613</v>
      </c>
      <c r="N46" s="140">
        <v>6715</v>
      </c>
      <c r="O46" s="163">
        <f t="shared" si="5"/>
        <v>53.564716374428301</v>
      </c>
      <c r="P46" s="163">
        <f>(N46-M46)+O46</f>
        <v>155.56471637442831</v>
      </c>
      <c r="Q46" s="139">
        <f t="shared" ref="Q46:Q60" si="8">L46*P46/3960/$O$11</f>
        <v>108.87285345107898</v>
      </c>
      <c r="R46" s="139">
        <f t="shared" ref="R46:R63" si="9">Q46*0.7457</f>
        <v>81.186486818469604</v>
      </c>
      <c r="S46" s="164">
        <v>48.7</v>
      </c>
      <c r="T46" s="163">
        <v>0</v>
      </c>
      <c r="U46" s="166">
        <f>'Unit Cost Table'!$D$23*F46</f>
        <v>60000</v>
      </c>
      <c r="V46" s="141"/>
    </row>
    <row r="47" spans="3:28" x14ac:dyDescent="0.25">
      <c r="D47" s="143" t="s">
        <v>9</v>
      </c>
      <c r="E47" s="162" t="s">
        <v>235</v>
      </c>
      <c r="F47" s="140">
        <v>2</v>
      </c>
      <c r="G47" s="140">
        <f t="shared" si="6"/>
        <v>15</v>
      </c>
      <c r="H47" s="140">
        <f>G47+'1 Reclamation and O&amp;M costs'!$O$22-'1 Reclamation and O&amp;M costs'!$O$21</f>
        <v>21</v>
      </c>
      <c r="I47" s="140">
        <f>$O$24-$O$22</f>
        <v>12</v>
      </c>
      <c r="J47" s="139">
        <v>-1</v>
      </c>
      <c r="K47" s="140">
        <f t="shared" si="7"/>
        <v>1</v>
      </c>
      <c r="L47" s="140">
        <v>940</v>
      </c>
      <c r="M47" s="140">
        <v>6556</v>
      </c>
      <c r="N47" s="140">
        <v>6745</v>
      </c>
      <c r="O47" s="163">
        <f t="shared" si="5"/>
        <v>11.218506561198753</v>
      </c>
      <c r="P47" s="163">
        <f>(N47-M47)+O47</f>
        <v>200.21850656119875</v>
      </c>
      <c r="Q47" s="139">
        <f t="shared" si="8"/>
        <v>67.895164562599874</v>
      </c>
      <c r="R47" s="139">
        <f>Q47*0.7457</f>
        <v>50.629424214330726</v>
      </c>
      <c r="S47" s="164">
        <v>96.9</v>
      </c>
      <c r="T47" s="167">
        <v>0</v>
      </c>
      <c r="U47" s="166">
        <f>'Unit Cost Table'!$D$22*F47</f>
        <v>50000</v>
      </c>
      <c r="V47" s="141"/>
    </row>
    <row r="48" spans="3:28" x14ac:dyDescent="0.25">
      <c r="D48" s="143" t="s">
        <v>92</v>
      </c>
      <c r="E48" s="162" t="s">
        <v>31</v>
      </c>
      <c r="F48" s="140">
        <v>2</v>
      </c>
      <c r="G48" s="140">
        <f>20+4</f>
        <v>24</v>
      </c>
      <c r="H48" s="140">
        <f>G48+'1 Reclamation and O&amp;M costs'!$O$22-'1 Reclamation and O&amp;M costs'!$O$21</f>
        <v>30</v>
      </c>
      <c r="I48" s="140">
        <f>$O$24-$O$22</f>
        <v>12</v>
      </c>
      <c r="J48" s="139">
        <v>-1</v>
      </c>
      <c r="K48" s="140">
        <f t="shared" si="7"/>
        <v>1</v>
      </c>
      <c r="L48" s="140">
        <f>1500*2</f>
        <v>3000</v>
      </c>
      <c r="M48" s="140">
        <v>6688</v>
      </c>
      <c r="N48" s="140">
        <v>6700</v>
      </c>
      <c r="O48" s="163">
        <f t="shared" si="5"/>
        <v>0.5057338410851604</v>
      </c>
      <c r="P48" s="163">
        <f>(N48-M48)+O48</f>
        <v>12.50573384108516</v>
      </c>
      <c r="Q48" s="139">
        <f t="shared" si="8"/>
        <v>13.534343983858397</v>
      </c>
      <c r="R48" s="139">
        <f t="shared" si="9"/>
        <v>10.092560308763208</v>
      </c>
      <c r="S48" s="139">
        <v>0</v>
      </c>
      <c r="T48" s="167">
        <f>[3]Variables!$G$37</f>
        <v>18001800.000000004</v>
      </c>
      <c r="U48" s="166">
        <f>'Unit Cost Table'!$D$22*F48</f>
        <v>50000</v>
      </c>
      <c r="V48" s="141"/>
    </row>
    <row r="49" spans="4:22" x14ac:dyDescent="0.25">
      <c r="D49" s="143" t="s">
        <v>31</v>
      </c>
      <c r="E49" s="162" t="s">
        <v>16</v>
      </c>
      <c r="F49" s="140">
        <v>2</v>
      </c>
      <c r="G49" s="140">
        <f t="shared" ref="G49:G52" si="10">20+4</f>
        <v>24</v>
      </c>
      <c r="H49" s="140">
        <f>G49+'1 Reclamation and O&amp;M costs'!$O$22-'1 Reclamation and O&amp;M costs'!$O$21</f>
        <v>30</v>
      </c>
      <c r="I49" s="140">
        <f>$O$24-$O$22</f>
        <v>12</v>
      </c>
      <c r="J49" s="139">
        <v>-1</v>
      </c>
      <c r="K49" s="140">
        <f t="shared" si="7"/>
        <v>1</v>
      </c>
      <c r="L49" s="140">
        <f>L48</f>
        <v>3000</v>
      </c>
      <c r="M49" s="140">
        <f>N48</f>
        <v>6700</v>
      </c>
      <c r="N49" s="140">
        <v>6925</v>
      </c>
      <c r="O49" s="163">
        <f t="shared" si="5"/>
        <v>9.7910071634087057</v>
      </c>
      <c r="P49" s="163">
        <f t="shared" ref="P49:P51" si="11">(N49-M49)+O49</f>
        <v>234.79100716340869</v>
      </c>
      <c r="Q49" s="139">
        <f t="shared" si="8"/>
        <v>254.10282160542064</v>
      </c>
      <c r="R49" s="139">
        <f t="shared" si="9"/>
        <v>189.48447407116217</v>
      </c>
      <c r="S49" s="139">
        <v>0</v>
      </c>
      <c r="T49" s="167">
        <v>0</v>
      </c>
      <c r="U49" s="166">
        <f>'Unit Cost Table'!$D$22*F49</f>
        <v>50000</v>
      </c>
      <c r="V49" s="141"/>
    </row>
    <row r="50" spans="4:22" x14ac:dyDescent="0.25">
      <c r="D50" s="143" t="s">
        <v>92</v>
      </c>
      <c r="E50" s="162" t="s">
        <v>18</v>
      </c>
      <c r="F50" s="140">
        <v>2</v>
      </c>
      <c r="G50" s="140">
        <f t="shared" si="10"/>
        <v>24</v>
      </c>
      <c r="H50" s="140">
        <f>G50+'1 Reclamation and O&amp;M costs'!$O$22-'1 Reclamation and O&amp;M costs'!$O$21</f>
        <v>30</v>
      </c>
      <c r="I50" s="140">
        <f>$O$23-$O$22</f>
        <v>5</v>
      </c>
      <c r="J50" s="139">
        <v>-1</v>
      </c>
      <c r="K50" s="140">
        <f t="shared" si="7"/>
        <v>1</v>
      </c>
      <c r="L50" s="140">
        <v>1760</v>
      </c>
      <c r="M50" s="140">
        <v>6688</v>
      </c>
      <c r="N50" s="140">
        <v>7000</v>
      </c>
      <c r="O50" s="163">
        <f t="shared" si="5"/>
        <v>30.720899593763932</v>
      </c>
      <c r="P50" s="163">
        <f t="shared" si="11"/>
        <v>342.72089959376393</v>
      </c>
      <c r="Q50" s="139">
        <f t="shared" si="8"/>
        <v>217.60057117064378</v>
      </c>
      <c r="R50" s="139">
        <f t="shared" si="9"/>
        <v>162.26474592194907</v>
      </c>
      <c r="S50" s="139">
        <v>0</v>
      </c>
      <c r="T50" s="167">
        <v>0</v>
      </c>
      <c r="U50" s="166">
        <f>'Unit Cost Table'!$D$23*F50</f>
        <v>60000</v>
      </c>
      <c r="V50" s="141"/>
    </row>
    <row r="51" spans="4:22" x14ac:dyDescent="0.25">
      <c r="D51" s="143" t="s">
        <v>10</v>
      </c>
      <c r="E51" s="162" t="s">
        <v>17</v>
      </c>
      <c r="F51" s="140">
        <v>1</v>
      </c>
      <c r="G51" s="140">
        <f t="shared" si="10"/>
        <v>24</v>
      </c>
      <c r="H51" s="140">
        <f>G51+'1 Reclamation and O&amp;M costs'!$O$22-'1 Reclamation and O&amp;M costs'!$O$21</f>
        <v>30</v>
      </c>
      <c r="I51" s="140">
        <f>$O$23-$O$22</f>
        <v>5</v>
      </c>
      <c r="J51" s="139">
        <v>-1</v>
      </c>
      <c r="K51" s="140">
        <f t="shared" si="7"/>
        <v>1</v>
      </c>
      <c r="L51" s="140">
        <v>100</v>
      </c>
      <c r="M51" s="140">
        <v>6670</v>
      </c>
      <c r="N51" s="140">
        <v>6695</v>
      </c>
      <c r="O51" s="163">
        <f t="shared" si="5"/>
        <v>0.3921683978876333</v>
      </c>
      <c r="P51" s="163">
        <f t="shared" si="11"/>
        <v>25.392168397887634</v>
      </c>
      <c r="Q51" s="139">
        <f t="shared" si="8"/>
        <v>0.91602339097718743</v>
      </c>
      <c r="R51" s="139">
        <f t="shared" si="9"/>
        <v>0.68307864265168872</v>
      </c>
      <c r="S51" s="139">
        <v>0</v>
      </c>
      <c r="T51" s="163">
        <f>[3]Variables!$G$24</f>
        <v>146642.56200000001</v>
      </c>
      <c r="U51" s="166">
        <f>'Unit Cost Table'!$D$21*F51</f>
        <v>15000</v>
      </c>
      <c r="V51" s="141"/>
    </row>
    <row r="52" spans="4:22" x14ac:dyDescent="0.25">
      <c r="D52" s="143" t="s">
        <v>185</v>
      </c>
      <c r="E52" s="162" t="s">
        <v>92</v>
      </c>
      <c r="F52" s="140">
        <v>2</v>
      </c>
      <c r="G52" s="140">
        <f t="shared" si="10"/>
        <v>24</v>
      </c>
      <c r="H52" s="140">
        <f>G52+'1 Reclamation and O&amp;M costs'!$O$22-'1 Reclamation and O&amp;M costs'!$O$21</f>
        <v>30</v>
      </c>
      <c r="I52" s="140">
        <f>$O$24-$O$22</f>
        <v>12</v>
      </c>
      <c r="J52" s="139">
        <v>-1</v>
      </c>
      <c r="K52" s="140">
        <f t="shared" si="7"/>
        <v>1</v>
      </c>
      <c r="L52" s="140">
        <f>L51</f>
        <v>100</v>
      </c>
      <c r="M52" s="140">
        <v>6695</v>
      </c>
      <c r="N52" s="140">
        <v>6750</v>
      </c>
      <c r="O52" s="163">
        <f t="shared" si="5"/>
        <v>6.8980486380664843</v>
      </c>
      <c r="P52" s="163">
        <f>(N52-M52)+O52</f>
        <v>61.898048638066484</v>
      </c>
      <c r="Q52" s="139">
        <f t="shared" si="8"/>
        <v>2.2329743375925859</v>
      </c>
      <c r="R52" s="139">
        <f t="shared" si="9"/>
        <v>1.6651289635427913</v>
      </c>
      <c r="S52" s="168">
        <v>13.1</v>
      </c>
      <c r="T52" s="167">
        <v>0</v>
      </c>
      <c r="U52" s="166">
        <f>'Unit Cost Table'!$D$21*F52</f>
        <v>30000</v>
      </c>
      <c r="V52" s="141"/>
    </row>
    <row r="53" spans="4:22" x14ac:dyDescent="0.25">
      <c r="D53" s="143" t="s">
        <v>122</v>
      </c>
      <c r="E53" s="162" t="s">
        <v>92</v>
      </c>
      <c r="F53" s="140">
        <v>2</v>
      </c>
      <c r="G53" s="140">
        <f>5+4</f>
        <v>9</v>
      </c>
      <c r="H53" s="140">
        <f>G53+'1 Reclamation and O&amp;M costs'!$O$22-'1 Reclamation and O&amp;M costs'!$O$21</f>
        <v>15</v>
      </c>
      <c r="I53" s="140">
        <f>$O$23-$O$22</f>
        <v>5</v>
      </c>
      <c r="J53" s="139">
        <v>-1</v>
      </c>
      <c r="K53" s="140">
        <f t="shared" si="7"/>
        <v>1</v>
      </c>
      <c r="L53" s="140">
        <v>45</v>
      </c>
      <c r="M53" s="140">
        <v>6575</v>
      </c>
      <c r="N53" s="140">
        <v>6688</v>
      </c>
      <c r="O53" s="163">
        <f t="shared" si="5"/>
        <v>18.642724878120436</v>
      </c>
      <c r="P53" s="163">
        <f t="shared" ref="P53:P60" si="12">(N53-M53)+O53</f>
        <v>131.64272487812045</v>
      </c>
      <c r="Q53" s="139">
        <f t="shared" si="8"/>
        <v>2.1370572220474098</v>
      </c>
      <c r="R53" s="139">
        <f t="shared" si="9"/>
        <v>1.5936035704807536</v>
      </c>
      <c r="S53" s="139">
        <v>0</v>
      </c>
      <c r="T53" s="163">
        <f>([3]Variables!$G$22)</f>
        <v>762541.32239999995</v>
      </c>
      <c r="U53" s="166">
        <f>'Unit Cost Table'!$D$20*F53</f>
        <v>20000</v>
      </c>
      <c r="V53" s="141"/>
    </row>
    <row r="54" spans="4:22" x14ac:dyDescent="0.25">
      <c r="D54" s="143" t="s">
        <v>11</v>
      </c>
      <c r="E54" s="162" t="s">
        <v>92</v>
      </c>
      <c r="F54" s="140">
        <v>2</v>
      </c>
      <c r="G54" s="140">
        <f>5+4</f>
        <v>9</v>
      </c>
      <c r="H54" s="140">
        <f>G54+'1 Reclamation and O&amp;M costs'!$O$22-'1 Reclamation and O&amp;M costs'!$O$21</f>
        <v>15</v>
      </c>
      <c r="I54" s="140">
        <f>$O$23-$O$22</f>
        <v>5</v>
      </c>
      <c r="J54" s="139">
        <v>-1</v>
      </c>
      <c r="K54" s="140">
        <f t="shared" si="7"/>
        <v>1</v>
      </c>
      <c r="L54" s="140">
        <v>30</v>
      </c>
      <c r="M54" s="140">
        <v>6575</v>
      </c>
      <c r="N54" s="140">
        <v>6688</v>
      </c>
      <c r="O54" s="163">
        <f t="shared" si="5"/>
        <v>95.7754861576461</v>
      </c>
      <c r="P54" s="163">
        <f t="shared" si="12"/>
        <v>208.7754861576461</v>
      </c>
      <c r="Q54" s="139">
        <f t="shared" si="8"/>
        <v>2.2594749584160834</v>
      </c>
      <c r="R54" s="139">
        <f t="shared" si="9"/>
        <v>1.6848904764908734</v>
      </c>
      <c r="S54" s="139">
        <v>0</v>
      </c>
      <c r="T54" s="163">
        <f>([3]Variables!$G$21)</f>
        <v>169453.62719999999</v>
      </c>
      <c r="U54" s="166">
        <f>'Unit Cost Table'!$D$20*F54</f>
        <v>20000</v>
      </c>
      <c r="V54" s="141"/>
    </row>
    <row r="55" spans="4:22" x14ac:dyDescent="0.25">
      <c r="D55" s="143" t="s">
        <v>123</v>
      </c>
      <c r="E55" s="162" t="s">
        <v>16</v>
      </c>
      <c r="F55" s="140">
        <v>2</v>
      </c>
      <c r="G55" s="140">
        <f t="shared" ref="G55:G57" si="13">20+4</f>
        <v>24</v>
      </c>
      <c r="H55" s="140">
        <f>G55+'1 Reclamation and O&amp;M costs'!$O$22-'1 Reclamation and O&amp;M costs'!$O$21</f>
        <v>30</v>
      </c>
      <c r="I55" s="140">
        <f>$O$24-$O$22</f>
        <v>12</v>
      </c>
      <c r="J55" s="139">
        <v>-1</v>
      </c>
      <c r="K55" s="140">
        <f t="shared" si="7"/>
        <v>1</v>
      </c>
      <c r="L55" s="140">
        <v>1980</v>
      </c>
      <c r="M55" s="140">
        <v>6810</v>
      </c>
      <c r="N55" s="140">
        <v>6925</v>
      </c>
      <c r="O55" s="163">
        <f t="shared" si="5"/>
        <v>358.12093082948076</v>
      </c>
      <c r="P55" s="163">
        <f t="shared" si="12"/>
        <v>473.12093082948076</v>
      </c>
      <c r="Q55" s="139">
        <f t="shared" si="8"/>
        <v>337.94352202105773</v>
      </c>
      <c r="R55" s="139">
        <f t="shared" si="9"/>
        <v>252.00448437110276</v>
      </c>
      <c r="S55" s="164">
        <v>53.7</v>
      </c>
      <c r="T55" s="163">
        <v>0</v>
      </c>
      <c r="U55" s="166">
        <f>'Unit Cost Table'!$D$23*F55</f>
        <v>60000</v>
      </c>
      <c r="V55" s="141"/>
    </row>
    <row r="56" spans="4:22" x14ac:dyDescent="0.25">
      <c r="D56" s="143" t="s">
        <v>13</v>
      </c>
      <c r="E56" s="162" t="s">
        <v>16</v>
      </c>
      <c r="F56" s="140">
        <v>2</v>
      </c>
      <c r="G56" s="140">
        <f t="shared" si="13"/>
        <v>24</v>
      </c>
      <c r="H56" s="140">
        <f>G56+'1 Reclamation and O&amp;M costs'!$O$22-'1 Reclamation and O&amp;M costs'!$O$21</f>
        <v>30</v>
      </c>
      <c r="I56" s="140">
        <f>$O$24-$O$22</f>
        <v>12</v>
      </c>
      <c r="J56" s="139">
        <v>-1</v>
      </c>
      <c r="K56" s="140">
        <f t="shared" si="7"/>
        <v>1</v>
      </c>
      <c r="L56" s="140">
        <v>1100</v>
      </c>
      <c r="M56" s="140">
        <v>6775</v>
      </c>
      <c r="N56" s="140">
        <v>6925</v>
      </c>
      <c r="O56" s="163">
        <f>10.44*(L56)^1.85/($O$13^1.85*H107^4.865)*G107</f>
        <v>14.487001386799871</v>
      </c>
      <c r="P56" s="163">
        <f t="shared" si="12"/>
        <v>164.48700138679988</v>
      </c>
      <c r="Q56" s="139">
        <f t="shared" si="8"/>
        <v>65.272619597936469</v>
      </c>
      <c r="R56" s="139">
        <f t="shared" si="9"/>
        <v>48.67379243418123</v>
      </c>
      <c r="S56" s="164">
        <v>6.5</v>
      </c>
      <c r="T56" s="167">
        <v>0</v>
      </c>
      <c r="U56" s="166">
        <f>'Unit Cost Table'!$D$23*F56</f>
        <v>60000</v>
      </c>
      <c r="V56" s="141"/>
    </row>
    <row r="57" spans="4:22" x14ac:dyDescent="0.25">
      <c r="D57" s="143" t="s">
        <v>15</v>
      </c>
      <c r="E57" s="162" t="s">
        <v>12</v>
      </c>
      <c r="F57" s="140">
        <v>1</v>
      </c>
      <c r="G57" s="140">
        <f t="shared" si="13"/>
        <v>24</v>
      </c>
      <c r="H57" s="140">
        <f>G57+'1 Reclamation and O&amp;M costs'!$O$22-'1 Reclamation and O&amp;M costs'!$O$21</f>
        <v>30</v>
      </c>
      <c r="I57" s="140">
        <v>9</v>
      </c>
      <c r="J57" s="139">
        <v>-1</v>
      </c>
      <c r="K57" s="140">
        <f t="shared" si="7"/>
        <v>1</v>
      </c>
      <c r="L57" s="140">
        <v>125</v>
      </c>
      <c r="M57" s="140">
        <v>6775</v>
      </c>
      <c r="N57" s="140">
        <v>6810</v>
      </c>
      <c r="O57" s="163">
        <f>10.44*(L57)^1.85/($O$13^1.85*H108^4.865)*G108</f>
        <v>0.29629622776485681</v>
      </c>
      <c r="P57" s="163">
        <f t="shared" si="12"/>
        <v>35.296296227764856</v>
      </c>
      <c r="Q57" s="139">
        <f t="shared" si="8"/>
        <v>1.5916439496647212</v>
      </c>
      <c r="R57" s="139">
        <f t="shared" si="9"/>
        <v>1.1868888932649826</v>
      </c>
      <c r="S57" s="163">
        <v>0</v>
      </c>
      <c r="T57" s="167">
        <v>0</v>
      </c>
      <c r="U57" s="166">
        <f>'Unit Cost Table'!$D$21*F57</f>
        <v>15000</v>
      </c>
      <c r="V57" s="141"/>
    </row>
    <row r="58" spans="4:22" x14ac:dyDescent="0.25">
      <c r="D58" s="143" t="s">
        <v>16</v>
      </c>
      <c r="E58" s="162" t="s">
        <v>18</v>
      </c>
      <c r="F58" s="140">
        <v>2</v>
      </c>
      <c r="G58" s="140">
        <f>6+4</f>
        <v>10</v>
      </c>
      <c r="H58" s="140">
        <f>G58+'1 Reclamation and O&amp;M costs'!$O$22-'1 Reclamation and O&amp;M costs'!$O$21</f>
        <v>16</v>
      </c>
      <c r="I58" s="140">
        <v>9</v>
      </c>
      <c r="J58" s="139">
        <v>-1</v>
      </c>
      <c r="K58" s="140">
        <f t="shared" si="7"/>
        <v>1</v>
      </c>
      <c r="L58" s="140">
        <v>3497</v>
      </c>
      <c r="M58" s="140">
        <v>6925</v>
      </c>
      <c r="N58" s="140">
        <v>7000</v>
      </c>
      <c r="O58" s="163">
        <f>10.44*(L58)^1.85/($O$13^1.85*H110^4.865)*G110</f>
        <v>26.345286269742736</v>
      </c>
      <c r="P58" s="163">
        <f t="shared" si="12"/>
        <v>101.34528626974273</v>
      </c>
      <c r="Q58" s="139">
        <f t="shared" si="8"/>
        <v>127.85153899180749</v>
      </c>
      <c r="R58" s="139">
        <f t="shared" si="9"/>
        <v>95.338892626190841</v>
      </c>
      <c r="S58" s="139">
        <v>0</v>
      </c>
      <c r="T58" s="167">
        <v>0</v>
      </c>
      <c r="U58" s="166">
        <f>'Unit Cost Table'!$D$23*F58</f>
        <v>60000</v>
      </c>
      <c r="V58" s="141"/>
    </row>
    <row r="59" spans="4:22" x14ac:dyDescent="0.25">
      <c r="D59" s="143" t="s">
        <v>18</v>
      </c>
      <c r="E59" s="162" t="s">
        <v>16</v>
      </c>
      <c r="F59" s="140">
        <v>1</v>
      </c>
      <c r="G59" s="140">
        <f>6+4</f>
        <v>10</v>
      </c>
      <c r="H59" s="140">
        <f>G59+'1 Reclamation and O&amp;M costs'!$O$22-'1 Reclamation and O&amp;M costs'!$O$21</f>
        <v>16</v>
      </c>
      <c r="I59" s="140">
        <f>$O$23-$O$22</f>
        <v>5</v>
      </c>
      <c r="J59" s="139">
        <v>-1</v>
      </c>
      <c r="K59" s="140">
        <f t="shared" si="7"/>
        <v>1</v>
      </c>
      <c r="L59" s="140">
        <v>1240</v>
      </c>
      <c r="M59" s="140">
        <v>7000</v>
      </c>
      <c r="N59" s="140">
        <v>7010</v>
      </c>
      <c r="O59" s="163">
        <f>10.44*(L59)^1.85/($O$13^1.85*H111^4.865)*G111</f>
        <v>45.645331019854041</v>
      </c>
      <c r="P59" s="163">
        <f>(N59-M59)+O59</f>
        <v>55.645331019854041</v>
      </c>
      <c r="Q59" s="139">
        <f t="shared" si="8"/>
        <v>24.89185081696213</v>
      </c>
      <c r="R59" s="139">
        <f t="shared" si="9"/>
        <v>18.561853154208659</v>
      </c>
      <c r="S59" s="168">
        <v>316.10000000000002</v>
      </c>
      <c r="T59" s="167">
        <v>0</v>
      </c>
      <c r="U59" s="166">
        <f>'Unit Cost Table'!$D$23*F59</f>
        <v>30000</v>
      </c>
      <c r="V59" s="141"/>
    </row>
    <row r="60" spans="4:22" x14ac:dyDescent="0.25">
      <c r="D60" s="143" t="s">
        <v>184</v>
      </c>
      <c r="E60" s="162" t="s">
        <v>92</v>
      </c>
      <c r="F60" s="140">
        <v>2</v>
      </c>
      <c r="G60" s="140">
        <f>-5+4</f>
        <v>-1</v>
      </c>
      <c r="H60" s="140">
        <f>G60+'1 Reclamation and O&amp;M costs'!$O$22-'1 Reclamation and O&amp;M costs'!$O$21</f>
        <v>5</v>
      </c>
      <c r="I60" s="140">
        <f>$O$24-$O$22</f>
        <v>12</v>
      </c>
      <c r="J60" s="139" t="str">
        <f t="shared" ref="J60" si="14">IF(($O$9-H60)&gt;I60,"-",IF(($O$9-H60)&lt;0,0,($O$9-H60)))</f>
        <v>-</v>
      </c>
      <c r="K60" s="140">
        <f t="shared" si="7"/>
        <v>0</v>
      </c>
      <c r="L60" s="140">
        <v>2000</v>
      </c>
      <c r="M60" s="140">
        <v>6560</v>
      </c>
      <c r="N60" s="140">
        <v>6688</v>
      </c>
      <c r="O60" s="163">
        <f>10.44*(L60)^1.85/($O$13^1.85*H112^4.865)*G112</f>
        <v>69.944178139415698</v>
      </c>
      <c r="P60" s="163">
        <f t="shared" si="12"/>
        <v>197.9441781394157</v>
      </c>
      <c r="Q60" s="139">
        <f t="shared" si="8"/>
        <v>142.81686734445577</v>
      </c>
      <c r="R60" s="139">
        <f t="shared" si="9"/>
        <v>106.49853797876068</v>
      </c>
      <c r="S60" s="164">
        <v>69.8</v>
      </c>
      <c r="T60" s="163">
        <f>[3]Variables!$G$17</f>
        <v>423634.06799999997</v>
      </c>
      <c r="U60" s="166">
        <f>'Unit Cost Table'!$D$20*F60</f>
        <v>20000</v>
      </c>
      <c r="V60" s="141"/>
    </row>
    <row r="61" spans="4:22" x14ac:dyDescent="0.25">
      <c r="D61" s="281" t="s">
        <v>156</v>
      </c>
      <c r="E61" s="162"/>
      <c r="F61" s="140"/>
      <c r="G61" s="140"/>
      <c r="H61" s="140"/>
      <c r="I61" s="140"/>
      <c r="J61" s="163"/>
      <c r="K61" s="140"/>
      <c r="L61" s="140"/>
      <c r="M61" s="140"/>
      <c r="N61" s="140"/>
      <c r="O61" s="163"/>
      <c r="P61" s="163"/>
      <c r="Q61" s="139"/>
      <c r="R61" s="139"/>
      <c r="S61" s="168"/>
      <c r="T61" s="168"/>
      <c r="U61" s="169"/>
      <c r="V61" s="170"/>
    </row>
    <row r="62" spans="4:22" x14ac:dyDescent="0.25">
      <c r="D62" s="143" t="s">
        <v>81</v>
      </c>
      <c r="E62" s="162" t="s">
        <v>82</v>
      </c>
      <c r="F62" s="140">
        <v>1</v>
      </c>
      <c r="G62" s="140"/>
      <c r="H62" s="140"/>
      <c r="I62" s="140"/>
      <c r="J62" s="140"/>
      <c r="K62" s="140"/>
      <c r="L62" s="140">
        <v>4318</v>
      </c>
      <c r="M62" s="140">
        <v>6825</v>
      </c>
      <c r="N62" s="140">
        <v>7000</v>
      </c>
      <c r="O62" s="163">
        <f>10.44*(L62)^1.85/($O$13^1.85*H114^4.865)*G114</f>
        <v>13.222033473983327</v>
      </c>
      <c r="P62" s="163">
        <f>(N62-M62)+O62</f>
        <v>188.22203347398332</v>
      </c>
      <c r="Q62" s="139">
        <f>L62*P62/3960/$O$11</f>
        <v>293.19723684727995</v>
      </c>
      <c r="R62" s="139">
        <f t="shared" si="9"/>
        <v>218.63717951701668</v>
      </c>
      <c r="S62" s="168"/>
      <c r="T62" s="168"/>
      <c r="U62" s="169"/>
      <c r="V62" s="170"/>
    </row>
    <row r="63" spans="4:22" ht="13.8" thickBot="1" x14ac:dyDescent="0.3">
      <c r="D63" s="148" t="s">
        <v>83</v>
      </c>
      <c r="E63" s="171" t="s">
        <v>82</v>
      </c>
      <c r="F63" s="152">
        <v>1</v>
      </c>
      <c r="G63" s="152"/>
      <c r="H63" s="152"/>
      <c r="I63" s="152"/>
      <c r="J63" s="152"/>
      <c r="K63" s="152"/>
      <c r="L63" s="152">
        <v>4318</v>
      </c>
      <c r="M63" s="152">
        <v>6950</v>
      </c>
      <c r="N63" s="152">
        <v>7000</v>
      </c>
      <c r="O63" s="172">
        <f>10.44*(L63)^1.85/($O$13^1.85*H115^4.865)*G115</f>
        <v>13.222033473983327</v>
      </c>
      <c r="P63" s="172">
        <f>(N63-M63)+O63</f>
        <v>63.222033473983331</v>
      </c>
      <c r="Q63" s="150">
        <f>L63*P63/3960/$O$11</f>
        <v>98.482229632272748</v>
      </c>
      <c r="R63" s="150">
        <f t="shared" si="9"/>
        <v>73.438198636785785</v>
      </c>
      <c r="S63" s="173"/>
      <c r="T63" s="173"/>
      <c r="U63" s="174"/>
      <c r="V63" s="170"/>
    </row>
    <row r="64" spans="4:22" x14ac:dyDescent="0.25">
      <c r="D64" s="122" t="s">
        <v>130</v>
      </c>
      <c r="F64" s="175"/>
      <c r="S64" s="156"/>
      <c r="V64" s="156"/>
    </row>
    <row r="65" spans="4:42" x14ac:dyDescent="0.25">
      <c r="F65" s="175"/>
      <c r="S65" s="156"/>
      <c r="V65" s="156"/>
    </row>
    <row r="66" spans="4:42" x14ac:dyDescent="0.25">
      <c r="F66" s="175"/>
      <c r="N66" s="176"/>
      <c r="S66" s="156"/>
      <c r="V66" s="156"/>
    </row>
    <row r="67" spans="4:42" ht="13.8" thickBot="1" x14ac:dyDescent="0.3">
      <c r="F67" s="175"/>
      <c r="O67" s="176"/>
      <c r="X67" s="155"/>
      <c r="Y67" s="177"/>
      <c r="AC67" s="177"/>
      <c r="AD67" s="177"/>
      <c r="AE67" s="177"/>
      <c r="AF67" s="178"/>
      <c r="AJ67" s="178"/>
      <c r="AK67" s="177"/>
      <c r="AL67" s="178"/>
      <c r="AM67" s="178"/>
      <c r="AN67" s="179"/>
      <c r="AO67" s="178"/>
      <c r="AP67" s="178"/>
    </row>
    <row r="68" spans="4:42" ht="33" customHeight="1" thickBot="1" x14ac:dyDescent="0.3">
      <c r="D68" s="132" t="s">
        <v>253</v>
      </c>
      <c r="F68" s="402" t="s">
        <v>191</v>
      </c>
      <c r="G68" s="403"/>
      <c r="H68" s="403"/>
      <c r="I68" s="403"/>
      <c r="J68" s="404"/>
      <c r="K68" s="399" t="s">
        <v>190</v>
      </c>
      <c r="L68" s="400"/>
      <c r="M68" s="400"/>
      <c r="N68" s="400"/>
      <c r="O68" s="401"/>
      <c r="P68" s="282"/>
      <c r="S68" s="282"/>
      <c r="X68" s="155"/>
      <c r="Y68" s="177"/>
      <c r="AC68" s="177"/>
      <c r="AD68" s="177"/>
      <c r="AE68" s="177"/>
      <c r="AF68" s="178"/>
      <c r="AJ68" s="178"/>
      <c r="AK68" s="177"/>
      <c r="AL68" s="178"/>
      <c r="AM68" s="178"/>
      <c r="AN68" s="179"/>
      <c r="AO68" s="178"/>
      <c r="AP68" s="178"/>
    </row>
    <row r="69" spans="4:42" ht="52.8" x14ac:dyDescent="0.25">
      <c r="D69" s="180" t="str">
        <f>D44</f>
        <v>From</v>
      </c>
      <c r="E69" s="134" t="str">
        <f>E44</f>
        <v>To</v>
      </c>
      <c r="F69" s="180" t="s">
        <v>160</v>
      </c>
      <c r="G69" s="134" t="s">
        <v>96</v>
      </c>
      <c r="H69" s="134" t="s">
        <v>245</v>
      </c>
      <c r="I69" s="134" t="s">
        <v>167</v>
      </c>
      <c r="J69" s="279" t="s">
        <v>168</v>
      </c>
      <c r="K69" s="180" t="s">
        <v>246</v>
      </c>
      <c r="L69" s="134" t="s">
        <v>96</v>
      </c>
      <c r="M69" s="134" t="s">
        <v>245</v>
      </c>
      <c r="N69" s="134" t="s">
        <v>167</v>
      </c>
      <c r="O69" s="279" t="s">
        <v>168</v>
      </c>
      <c r="P69" s="272" t="s">
        <v>276</v>
      </c>
      <c r="Q69" s="272" t="s">
        <v>280</v>
      </c>
      <c r="R69" s="272" t="s">
        <v>286</v>
      </c>
      <c r="S69" s="272" t="s">
        <v>277</v>
      </c>
      <c r="T69" s="181" t="s">
        <v>287</v>
      </c>
      <c r="X69" s="155"/>
      <c r="Y69" s="177"/>
      <c r="AC69" s="177"/>
      <c r="AD69" s="177"/>
      <c r="AE69" s="177"/>
      <c r="AF69" s="178"/>
      <c r="AJ69" s="178"/>
      <c r="AK69" s="177"/>
      <c r="AL69" s="178"/>
      <c r="AM69" s="178"/>
      <c r="AN69" s="179"/>
      <c r="AO69" s="178"/>
      <c r="AP69" s="178"/>
    </row>
    <row r="70" spans="4:42" x14ac:dyDescent="0.25">
      <c r="D70" s="143" t="str">
        <f t="shared" ref="D70:E70" si="15">D45</f>
        <v>SWRF Dam 1 (181-2003-Dam 1)</v>
      </c>
      <c r="E70" s="162" t="str">
        <f t="shared" si="15"/>
        <v>SWRF Dam 3 (181-2003-Dam 3)</v>
      </c>
      <c r="F70" s="182">
        <f>$S$45*$O$19+$T$45</f>
        <v>5821935.8913565651</v>
      </c>
      <c r="G70" s="168">
        <f t="shared" ref="G70:G85" si="16">F70/($L45*60)</f>
        <v>55.131968668149291</v>
      </c>
      <c r="H70" s="139">
        <f t="shared" ref="H70:H83" si="17">$R45*G70</f>
        <v>3381.3799459088027</v>
      </c>
      <c r="I70" s="139">
        <f>H70*'Unit Cost Table'!$D$32</f>
        <v>198.48700282484674</v>
      </c>
      <c r="J70" s="183">
        <f t="shared" ref="J70:J85" si="18">I70*($O$23-$O$22+1)</f>
        <v>1190.9220169490804</v>
      </c>
      <c r="K70" s="182">
        <f>$S$45*$O$20</f>
        <v>305888.48601027858</v>
      </c>
      <c r="L70" s="139">
        <f t="shared" ref="L70:L85" si="19">K70/($L45*60)</f>
        <v>2.8966712690367289</v>
      </c>
      <c r="M70" s="139">
        <f t="shared" ref="M70:M83" si="20">$R45*L70</f>
        <v>177.66001061865933</v>
      </c>
      <c r="N70" s="142">
        <f>M70*'Unit Cost Table'!$D$32</f>
        <v>10.428642623315303</v>
      </c>
      <c r="O70" s="166">
        <f t="shared" ref="O70:O85" si="21">N70*(I45-($O$23-$O$22))</f>
        <v>73.000498363207129</v>
      </c>
      <c r="P70" s="142">
        <f t="shared" ref="P70:P85" si="22">U45*K45</f>
        <v>60000</v>
      </c>
      <c r="Q70" s="142">
        <f>P70/13</f>
        <v>4615.3846153846152</v>
      </c>
      <c r="R70" s="142">
        <f>Q70*(I45+1)</f>
        <v>60000</v>
      </c>
      <c r="S70" s="142">
        <v>0</v>
      </c>
      <c r="T70" s="166">
        <f t="shared" ref="T70:T85" si="23">O70+J70</f>
        <v>1263.9225153122875</v>
      </c>
      <c r="X70" s="155"/>
      <c r="Y70" s="177"/>
      <c r="AC70" s="177"/>
      <c r="AD70" s="177"/>
      <c r="AE70" s="177"/>
      <c r="AF70" s="178"/>
      <c r="AJ70" s="178"/>
      <c r="AK70" s="177"/>
      <c r="AL70" s="178"/>
      <c r="AM70" s="178"/>
      <c r="AN70" s="179"/>
      <c r="AO70" s="178"/>
      <c r="AP70" s="178"/>
    </row>
    <row r="71" spans="4:42" x14ac:dyDescent="0.25">
      <c r="D71" s="143" t="str">
        <f t="shared" ref="D71:E71" si="24">D46</f>
        <v>SWRF Dam 2 (181-2003-Dam 2)</v>
      </c>
      <c r="E71" s="162" t="str">
        <f t="shared" si="24"/>
        <v>SWRF Dam 3 (181-2003-Dam 3)</v>
      </c>
      <c r="F71" s="182">
        <f>$S$46*$O$19+$T$46</f>
        <v>2345147.046394249</v>
      </c>
      <c r="G71" s="168">
        <f t="shared" si="16"/>
        <v>20.147311395139596</v>
      </c>
      <c r="H71" s="139">
        <f t="shared" si="17"/>
        <v>1635.6894310091031</v>
      </c>
      <c r="I71" s="139">
        <f>H71*'Unit Cost Table'!$D$32</f>
        <v>96.014969600234352</v>
      </c>
      <c r="J71" s="183">
        <f t="shared" si="18"/>
        <v>576.08981760140614</v>
      </c>
      <c r="K71" s="182">
        <f>$S$46*$O$20</f>
        <v>123215.62670554646</v>
      </c>
      <c r="L71" s="139">
        <f t="shared" si="19"/>
        <v>1.0585534940339043</v>
      </c>
      <c r="M71" s="139">
        <f t="shared" si="20"/>
        <v>85.940239290028515</v>
      </c>
      <c r="N71" s="142">
        <f>M71*'Unit Cost Table'!$D$32</f>
        <v>5.0446920463246743</v>
      </c>
      <c r="O71" s="166">
        <f t="shared" si="21"/>
        <v>35.312844324272717</v>
      </c>
      <c r="P71" s="142">
        <f t="shared" si="22"/>
        <v>60000</v>
      </c>
      <c r="Q71" s="142">
        <f t="shared" ref="Q71:Q85" si="25">P71/13</f>
        <v>4615.3846153846152</v>
      </c>
      <c r="R71" s="142">
        <f t="shared" ref="R71:R85" si="26">Q71*(I46+1)</f>
        <v>60000</v>
      </c>
      <c r="S71" s="142">
        <v>0</v>
      </c>
      <c r="T71" s="166">
        <f t="shared" si="23"/>
        <v>611.4026619256789</v>
      </c>
      <c r="X71" s="155"/>
      <c r="Y71" s="177"/>
      <c r="AC71" s="177"/>
      <c r="AD71" s="177"/>
      <c r="AE71" s="177"/>
      <c r="AF71" s="178"/>
      <c r="AJ71" s="178"/>
      <c r="AK71" s="177"/>
      <c r="AL71" s="178"/>
      <c r="AM71" s="178"/>
      <c r="AN71" s="179"/>
      <c r="AO71" s="178"/>
      <c r="AP71" s="178"/>
    </row>
    <row r="72" spans="4:42" x14ac:dyDescent="0.25">
      <c r="D72" s="143" t="str">
        <f t="shared" ref="D72:E72" si="27">D47</f>
        <v>SWRF Dam 3 (181-2003-Dam 3)</v>
      </c>
      <c r="E72" s="162" t="str">
        <f t="shared" si="27"/>
        <v xml:space="preserve">Bullfrog pipeline </v>
      </c>
      <c r="F72" s="182">
        <f>$S$47*$O$19+$T$47+$F$71+$F$70</f>
        <v>12833299.545463396</v>
      </c>
      <c r="G72" s="168">
        <f t="shared" si="16"/>
        <v>227.54077208268433</v>
      </c>
      <c r="H72" s="139">
        <f t="shared" si="17"/>
        <v>11520.258275830567</v>
      </c>
      <c r="I72" s="139">
        <f>H72*'Unit Cost Table'!$D$32</f>
        <v>676.23916079125433</v>
      </c>
      <c r="J72" s="183">
        <f t="shared" si="18"/>
        <v>4057.434964747526</v>
      </c>
      <c r="K72" s="182">
        <f>$S$47*$O$20+$F$71+$F$70</f>
        <v>8412249.1436597966</v>
      </c>
      <c r="L72" s="139">
        <f t="shared" si="19"/>
        <v>149.15335361098931</v>
      </c>
      <c r="M72" s="139">
        <f t="shared" si="20"/>
        <v>7551.5484129608558</v>
      </c>
      <c r="N72" s="142">
        <f>M72*'Unit Cost Table'!$D$32</f>
        <v>443.27589184080227</v>
      </c>
      <c r="O72" s="166">
        <f t="shared" si="21"/>
        <v>3102.931242885616</v>
      </c>
      <c r="P72" s="142">
        <f t="shared" si="22"/>
        <v>50000</v>
      </c>
      <c r="Q72" s="142">
        <f t="shared" si="25"/>
        <v>3846.1538461538462</v>
      </c>
      <c r="R72" s="142">
        <f t="shared" si="26"/>
        <v>50000</v>
      </c>
      <c r="S72" s="142">
        <v>0</v>
      </c>
      <c r="T72" s="166">
        <f t="shared" si="23"/>
        <v>7160.366207633142</v>
      </c>
      <c r="X72" s="155"/>
      <c r="Y72" s="177"/>
      <c r="AC72" s="177"/>
      <c r="AD72" s="177"/>
      <c r="AE72" s="177"/>
      <c r="AF72" s="178"/>
      <c r="AJ72" s="178"/>
      <c r="AK72" s="177"/>
      <c r="AL72" s="178"/>
      <c r="AM72" s="178"/>
      <c r="AN72" s="179"/>
      <c r="AO72" s="178"/>
      <c r="AP72" s="178"/>
    </row>
    <row r="73" spans="4:42" x14ac:dyDescent="0.25">
      <c r="D73" s="143" t="str">
        <f t="shared" ref="D73:E73" si="28">D48</f>
        <v>Decant Pond #4</v>
      </c>
      <c r="E73" s="162" t="str">
        <f t="shared" si="28"/>
        <v>Booster Pump 2</v>
      </c>
      <c r="F73" s="182">
        <f>$S$48*$O$19+$T$48+$F$85+$F$77+$F$78+$F$79</f>
        <v>23496118.605186928</v>
      </c>
      <c r="G73" s="168">
        <f t="shared" si="16"/>
        <v>130.53399225103848</v>
      </c>
      <c r="H73" s="139">
        <f t="shared" si="17"/>
        <v>1317.4221891372351</v>
      </c>
      <c r="I73" s="139">
        <f>H73*'Unit Cost Table'!$D$32</f>
        <v>77.332682502355709</v>
      </c>
      <c r="J73" s="183">
        <f t="shared" si="18"/>
        <v>463.99609501413426</v>
      </c>
      <c r="K73" s="182">
        <f>$S$48*$O$20+$F$85+$F$77+$F$78+$F$79</f>
        <v>5494318.6051869243</v>
      </c>
      <c r="L73" s="139">
        <f t="shared" si="19"/>
        <v>30.523992251038468</v>
      </c>
      <c r="M73" s="139">
        <f t="shared" si="20"/>
        <v>308.06523265782658</v>
      </c>
      <c r="N73" s="142">
        <f>M73*'Unit Cost Table'!$D$32</f>
        <v>18.083429157014422</v>
      </c>
      <c r="O73" s="166">
        <f t="shared" si="21"/>
        <v>126.58400409910095</v>
      </c>
      <c r="P73" s="142">
        <f t="shared" si="22"/>
        <v>50000</v>
      </c>
      <c r="Q73" s="142">
        <f t="shared" si="25"/>
        <v>3846.1538461538462</v>
      </c>
      <c r="R73" s="142">
        <f t="shared" si="26"/>
        <v>50000</v>
      </c>
      <c r="S73" s="142">
        <v>0</v>
      </c>
      <c r="T73" s="166">
        <f t="shared" si="23"/>
        <v>590.58009911323518</v>
      </c>
      <c r="X73" s="155"/>
      <c r="Y73" s="177"/>
      <c r="AC73" s="177"/>
      <c r="AD73" s="177"/>
      <c r="AE73" s="177"/>
      <c r="AF73" s="178"/>
      <c r="AJ73" s="178"/>
      <c r="AK73" s="177"/>
      <c r="AL73" s="178"/>
      <c r="AM73" s="178"/>
      <c r="AN73" s="179"/>
      <c r="AO73" s="178"/>
      <c r="AP73" s="178"/>
    </row>
    <row r="74" spans="4:42" x14ac:dyDescent="0.25">
      <c r="D74" s="143" t="str">
        <f t="shared" ref="D74:E74" si="29">D49</f>
        <v>Booster Pump 2</v>
      </c>
      <c r="E74" s="162" t="str">
        <f t="shared" si="29"/>
        <v>Surge Tank</v>
      </c>
      <c r="F74" s="182">
        <f>$F$73</f>
        <v>23496118.605186928</v>
      </c>
      <c r="G74" s="168">
        <f t="shared" si="16"/>
        <v>130.53399225103848</v>
      </c>
      <c r="H74" s="139">
        <f t="shared" si="17"/>
        <v>24734.164870097185</v>
      </c>
      <c r="I74" s="139">
        <f>H74*'Unit Cost Table'!$D$32</f>
        <v>1451.8954778747047</v>
      </c>
      <c r="J74" s="183">
        <f t="shared" si="18"/>
        <v>8711.3728672482284</v>
      </c>
      <c r="K74" s="182">
        <f>$F$73</f>
        <v>23496118.605186928</v>
      </c>
      <c r="L74" s="139">
        <f t="shared" si="19"/>
        <v>130.53399225103848</v>
      </c>
      <c r="M74" s="139">
        <f t="shared" si="20"/>
        <v>24734.164870097185</v>
      </c>
      <c r="N74" s="142">
        <f>M74*'Unit Cost Table'!$D$32</f>
        <v>1451.8954778747047</v>
      </c>
      <c r="O74" s="166">
        <f t="shared" si="21"/>
        <v>10163.268345122933</v>
      </c>
      <c r="P74" s="142">
        <f t="shared" si="22"/>
        <v>50000</v>
      </c>
      <c r="Q74" s="142">
        <f t="shared" si="25"/>
        <v>3846.1538461538462</v>
      </c>
      <c r="R74" s="142">
        <f t="shared" si="26"/>
        <v>50000</v>
      </c>
      <c r="S74" s="142">
        <v>0</v>
      </c>
      <c r="T74" s="166">
        <f t="shared" si="23"/>
        <v>18874.641212371163</v>
      </c>
      <c r="X74" s="155"/>
      <c r="Y74" s="177"/>
      <c r="AC74" s="177"/>
      <c r="AD74" s="177"/>
      <c r="AE74" s="177"/>
      <c r="AF74" s="178"/>
      <c r="AJ74" s="178"/>
      <c r="AK74" s="177"/>
      <c r="AL74" s="178"/>
      <c r="AM74" s="178"/>
      <c r="AN74" s="179"/>
      <c r="AO74" s="178"/>
      <c r="AP74" s="178"/>
    </row>
    <row r="75" spans="4:42" x14ac:dyDescent="0.25">
      <c r="D75" s="143" t="str">
        <f t="shared" ref="D75:E75" si="30">D50</f>
        <v>Decant Pond #4</v>
      </c>
      <c r="E75" s="162" t="str">
        <f t="shared" si="30"/>
        <v>Reclaim Pond</v>
      </c>
      <c r="F75" s="182">
        <f>$S$50*$O$19+$T$50</f>
        <v>0</v>
      </c>
      <c r="G75" s="168">
        <f t="shared" si="16"/>
        <v>0</v>
      </c>
      <c r="H75" s="139">
        <f t="shared" si="17"/>
        <v>0</v>
      </c>
      <c r="I75" s="139">
        <f>H75*'Unit Cost Table'!$D$32</f>
        <v>0</v>
      </c>
      <c r="J75" s="183">
        <f t="shared" si="18"/>
        <v>0</v>
      </c>
      <c r="K75" s="182">
        <f>$S$50*$O$20</f>
        <v>0</v>
      </c>
      <c r="L75" s="139">
        <f t="shared" si="19"/>
        <v>0</v>
      </c>
      <c r="M75" s="139">
        <f t="shared" si="20"/>
        <v>0</v>
      </c>
      <c r="N75" s="142">
        <f>M75*'Unit Cost Table'!$D$32</f>
        <v>0</v>
      </c>
      <c r="O75" s="166">
        <f t="shared" si="21"/>
        <v>0</v>
      </c>
      <c r="P75" s="142">
        <f t="shared" si="22"/>
        <v>60000</v>
      </c>
      <c r="Q75" s="142">
        <f t="shared" si="25"/>
        <v>4615.3846153846152</v>
      </c>
      <c r="R75" s="142">
        <f t="shared" si="26"/>
        <v>27692.307692307691</v>
      </c>
      <c r="S75" s="142">
        <v>0</v>
      </c>
      <c r="T75" s="166">
        <f t="shared" si="23"/>
        <v>0</v>
      </c>
      <c r="X75" s="155"/>
      <c r="Y75" s="177"/>
      <c r="AC75" s="177"/>
      <c r="AD75" s="177"/>
      <c r="AE75" s="177"/>
      <c r="AF75" s="178"/>
      <c r="AJ75" s="178"/>
      <c r="AK75" s="177"/>
      <c r="AL75" s="178"/>
      <c r="AM75" s="178"/>
      <c r="AN75" s="179"/>
      <c r="AO75" s="178"/>
      <c r="AP75" s="178"/>
    </row>
    <row r="76" spans="4:42" x14ac:dyDescent="0.25">
      <c r="D76" s="143" t="str">
        <f t="shared" ref="D76:E76" si="31">D51</f>
        <v>Magnetite Interceptor Trench</v>
      </c>
      <c r="E76" s="162" t="str">
        <f t="shared" si="31"/>
        <v>Magnetite Tailings Seepage Pond</v>
      </c>
      <c r="F76" s="182">
        <f>$S$51*$O$19+$T$51</f>
        <v>146642.56200000001</v>
      </c>
      <c r="G76" s="168">
        <f t="shared" si="16"/>
        <v>24.440427</v>
      </c>
      <c r="H76" s="139">
        <f t="shared" si="17"/>
        <v>16.694733700987683</v>
      </c>
      <c r="I76" s="139">
        <f>H76*'Unit Cost Table'!$D$32</f>
        <v>0.97998086824797703</v>
      </c>
      <c r="J76" s="183">
        <f t="shared" si="18"/>
        <v>5.8798852094878624</v>
      </c>
      <c r="K76" s="182">
        <f>$S$51*$O$20+$T$51</f>
        <v>146642.56200000001</v>
      </c>
      <c r="L76" s="139">
        <f t="shared" si="19"/>
        <v>24.440427</v>
      </c>
      <c r="M76" s="139">
        <f t="shared" si="20"/>
        <v>16.694733700987683</v>
      </c>
      <c r="N76" s="142">
        <f>M76*'Unit Cost Table'!$D$32</f>
        <v>0.97998086824797703</v>
      </c>
      <c r="O76" s="166">
        <f t="shared" si="21"/>
        <v>0</v>
      </c>
      <c r="P76" s="142">
        <f t="shared" si="22"/>
        <v>15000</v>
      </c>
      <c r="Q76" s="142">
        <f t="shared" si="25"/>
        <v>1153.8461538461538</v>
      </c>
      <c r="R76" s="142">
        <f t="shared" si="26"/>
        <v>6923.0769230769229</v>
      </c>
      <c r="S76" s="142">
        <v>0</v>
      </c>
      <c r="T76" s="166">
        <f t="shared" si="23"/>
        <v>5.8798852094878624</v>
      </c>
      <c r="X76" s="155"/>
      <c r="Y76" s="177"/>
      <c r="AC76" s="177"/>
      <c r="AD76" s="177"/>
      <c r="AE76" s="177"/>
      <c r="AF76" s="178"/>
      <c r="AJ76" s="178"/>
      <c r="AK76" s="177"/>
      <c r="AL76" s="178"/>
      <c r="AM76" s="178"/>
      <c r="AN76" s="179"/>
      <c r="AO76" s="178"/>
      <c r="AP76" s="178"/>
    </row>
    <row r="77" spans="4:42" x14ac:dyDescent="0.25">
      <c r="D77" s="143" t="str">
        <f t="shared" ref="D77:E77" si="32">D52</f>
        <v>Magnetite Seepage Pond</v>
      </c>
      <c r="E77" s="162" t="str">
        <f t="shared" si="32"/>
        <v>Decant Pond #4</v>
      </c>
      <c r="F77" s="182">
        <f>$S$52*$O$19+$T$52+$F$76</f>
        <v>777472.67098900746</v>
      </c>
      <c r="G77" s="168">
        <f t="shared" si="16"/>
        <v>129.57877849816791</v>
      </c>
      <c r="H77" s="139">
        <f t="shared" si="17"/>
        <v>215.76537713779524</v>
      </c>
      <c r="I77" s="139">
        <f>H77*'Unit Cost Table'!$D$32</f>
        <v>12.66542763798858</v>
      </c>
      <c r="J77" s="183">
        <f t="shared" si="18"/>
        <v>75.992565827931486</v>
      </c>
      <c r="K77" s="182">
        <f>$S$52*$O$20+$F$76</f>
        <v>179786.80655529074</v>
      </c>
      <c r="L77" s="139">
        <f t="shared" si="19"/>
        <v>29.964467759215122</v>
      </c>
      <c r="M77" s="139">
        <f t="shared" si="20"/>
        <v>49.89470314301326</v>
      </c>
      <c r="N77" s="142">
        <f>M77*'Unit Cost Table'!$D$32</f>
        <v>2.9288190744948785</v>
      </c>
      <c r="O77" s="166">
        <f t="shared" si="21"/>
        <v>20.50173352146415</v>
      </c>
      <c r="P77" s="142">
        <f t="shared" si="22"/>
        <v>30000</v>
      </c>
      <c r="Q77" s="142">
        <f t="shared" si="25"/>
        <v>2307.6923076923076</v>
      </c>
      <c r="R77" s="142">
        <f t="shared" si="26"/>
        <v>30000</v>
      </c>
      <c r="S77" s="142">
        <v>0</v>
      </c>
      <c r="T77" s="166">
        <f t="shared" si="23"/>
        <v>96.494299349395632</v>
      </c>
      <c r="X77" s="155"/>
      <c r="Y77" s="177"/>
      <c r="AC77" s="177"/>
      <c r="AD77" s="177"/>
      <c r="AE77" s="177"/>
      <c r="AF77" s="178"/>
      <c r="AJ77" s="178"/>
      <c r="AK77" s="177"/>
      <c r="AL77" s="178"/>
      <c r="AM77" s="178"/>
      <c r="AN77" s="179"/>
      <c r="AO77" s="178"/>
      <c r="AP77" s="178"/>
    </row>
    <row r="78" spans="4:42" x14ac:dyDescent="0.25">
      <c r="D78" s="143" t="str">
        <f t="shared" ref="D78:E78" si="33">D53</f>
        <v>Estrada Seep</v>
      </c>
      <c r="E78" s="162" t="str">
        <f t="shared" si="33"/>
        <v>Decant Pond #4</v>
      </c>
      <c r="F78" s="182">
        <f>$S$53*$O$19+$T$53</f>
        <v>762541.32239999995</v>
      </c>
      <c r="G78" s="168">
        <f t="shared" si="16"/>
        <v>282.42271199999999</v>
      </c>
      <c r="H78" s="139">
        <f t="shared" si="17"/>
        <v>450.06984222805755</v>
      </c>
      <c r="I78" s="139">
        <f>H78*'Unit Cost Table'!$D$32</f>
        <v>26.419099738786979</v>
      </c>
      <c r="J78" s="183">
        <f t="shared" si="18"/>
        <v>158.51459843272187</v>
      </c>
      <c r="K78" s="182">
        <f>$S$53*$O$20</f>
        <v>0</v>
      </c>
      <c r="L78" s="139">
        <f t="shared" si="19"/>
        <v>0</v>
      </c>
      <c r="M78" s="139">
        <f t="shared" si="20"/>
        <v>0</v>
      </c>
      <c r="N78" s="142">
        <f>M78*'Unit Cost Table'!$D$32</f>
        <v>0</v>
      </c>
      <c r="O78" s="166">
        <f t="shared" si="21"/>
        <v>0</v>
      </c>
      <c r="P78" s="142">
        <f t="shared" si="22"/>
        <v>20000</v>
      </c>
      <c r="Q78" s="142">
        <f t="shared" si="25"/>
        <v>1538.4615384615386</v>
      </c>
      <c r="R78" s="142">
        <f t="shared" si="26"/>
        <v>9230.7692307692305</v>
      </c>
      <c r="S78" s="142">
        <v>0</v>
      </c>
      <c r="T78" s="166">
        <f t="shared" si="23"/>
        <v>158.51459843272187</v>
      </c>
      <c r="X78" s="155"/>
      <c r="Y78" s="177"/>
      <c r="AC78" s="177"/>
      <c r="AD78" s="177"/>
      <c r="AE78" s="177"/>
      <c r="AF78" s="178"/>
      <c r="AJ78" s="178"/>
      <c r="AK78" s="177"/>
      <c r="AL78" s="178"/>
      <c r="AM78" s="178"/>
      <c r="AN78" s="179"/>
      <c r="AO78" s="178"/>
      <c r="AP78" s="178"/>
    </row>
    <row r="79" spans="4:42" x14ac:dyDescent="0.25">
      <c r="D79" s="143" t="str">
        <f t="shared" ref="D79:E79" si="34">D54</f>
        <v>Union Hill Adit Seep</v>
      </c>
      <c r="E79" s="162" t="str">
        <f t="shared" si="34"/>
        <v>Decant Pond #4</v>
      </c>
      <c r="F79" s="182">
        <f>$S$54*$O$19+$T$54</f>
        <v>169453.62719999999</v>
      </c>
      <c r="G79" s="168">
        <f t="shared" si="16"/>
        <v>94.140903999999992</v>
      </c>
      <c r="H79" s="139">
        <f t="shared" si="17"/>
        <v>158.61711259784155</v>
      </c>
      <c r="I79" s="139">
        <f>H79*'Unit Cost Table'!$D$32</f>
        <v>9.3108245094932993</v>
      </c>
      <c r="J79" s="183">
        <f t="shared" si="18"/>
        <v>55.864947056959792</v>
      </c>
      <c r="K79" s="182">
        <f>$S$54*$O$20</f>
        <v>0</v>
      </c>
      <c r="L79" s="139">
        <f t="shared" si="19"/>
        <v>0</v>
      </c>
      <c r="M79" s="139">
        <f t="shared" si="20"/>
        <v>0</v>
      </c>
      <c r="N79" s="142">
        <f>M79*'Unit Cost Table'!$D$32</f>
        <v>0</v>
      </c>
      <c r="O79" s="166">
        <f t="shared" si="21"/>
        <v>0</v>
      </c>
      <c r="P79" s="142">
        <f t="shared" si="22"/>
        <v>20000</v>
      </c>
      <c r="Q79" s="142">
        <f t="shared" si="25"/>
        <v>1538.4615384615386</v>
      </c>
      <c r="R79" s="142">
        <f t="shared" si="26"/>
        <v>9230.7692307692305</v>
      </c>
      <c r="S79" s="142">
        <v>0</v>
      </c>
      <c r="T79" s="166">
        <f t="shared" si="23"/>
        <v>55.864947056959792</v>
      </c>
      <c r="X79" s="155"/>
      <c r="Y79" s="177"/>
      <c r="AC79" s="177"/>
      <c r="AD79" s="177"/>
      <c r="AE79" s="177"/>
      <c r="AF79" s="178"/>
      <c r="AJ79" s="178"/>
      <c r="AK79" s="177"/>
      <c r="AL79" s="178"/>
      <c r="AM79" s="178"/>
      <c r="AN79" s="179"/>
      <c r="AO79" s="178"/>
      <c r="AP79" s="178"/>
    </row>
    <row r="80" spans="4:42" x14ac:dyDescent="0.25">
      <c r="D80" s="143" t="str">
        <f t="shared" ref="D80:E80" si="35">D55</f>
        <v>Upper Creek Containment Pond #1</v>
      </c>
      <c r="E80" s="162" t="str">
        <f t="shared" si="35"/>
        <v>Surge Tank</v>
      </c>
      <c r="F80" s="182">
        <f>$S$55*$O$19+$T$55</f>
        <v>2585921.897153412</v>
      </c>
      <c r="G80" s="168">
        <f t="shared" si="16"/>
        <v>21.767019336308181</v>
      </c>
      <c r="H80" s="139">
        <f t="shared" si="17"/>
        <v>5485.3864841421664</v>
      </c>
      <c r="I80" s="139">
        <f>H80*'Unit Cost Table'!$D$32</f>
        <v>321.99218661914517</v>
      </c>
      <c r="J80" s="183">
        <f t="shared" si="18"/>
        <v>1931.953119714871</v>
      </c>
      <c r="K80" s="182">
        <f>$S$55*$O$20</f>
        <v>135866.10172664979</v>
      </c>
      <c r="L80" s="139">
        <f t="shared" si="19"/>
        <v>1.1436540549381295</v>
      </c>
      <c r="M80" s="139">
        <f t="shared" si="20"/>
        <v>288.20595041360417</v>
      </c>
      <c r="N80" s="142">
        <f>M80*'Unit Cost Table'!$D$32</f>
        <v>16.917689289278567</v>
      </c>
      <c r="O80" s="166">
        <f t="shared" si="21"/>
        <v>118.42382502494996</v>
      </c>
      <c r="P80" s="142">
        <f t="shared" si="22"/>
        <v>60000</v>
      </c>
      <c r="Q80" s="142">
        <f t="shared" si="25"/>
        <v>4615.3846153846152</v>
      </c>
      <c r="R80" s="142">
        <f t="shared" si="26"/>
        <v>60000</v>
      </c>
      <c r="S80" s="142">
        <v>0</v>
      </c>
      <c r="T80" s="166">
        <f t="shared" si="23"/>
        <v>2050.3769447398208</v>
      </c>
      <c r="X80" s="155"/>
      <c r="Y80" s="177"/>
      <c r="AC80" s="177"/>
      <c r="AD80" s="177"/>
      <c r="AE80" s="177"/>
      <c r="AF80" s="178"/>
      <c r="AJ80" s="178"/>
      <c r="AK80" s="177"/>
      <c r="AL80" s="178"/>
      <c r="AM80" s="178"/>
      <c r="AN80" s="179"/>
      <c r="AO80" s="178"/>
      <c r="AP80" s="178"/>
    </row>
    <row r="81" spans="3:42" x14ac:dyDescent="0.25">
      <c r="D81" s="143" t="str">
        <f t="shared" ref="D81:E81" si="36">D56</f>
        <v>Grape Gulch Pond #3</v>
      </c>
      <c r="E81" s="162" t="str">
        <f t="shared" si="36"/>
        <v>Surge Tank</v>
      </c>
      <c r="F81" s="182">
        <f>$S$56*$O$19+$T$56</f>
        <v>313007.30598691205</v>
      </c>
      <c r="G81" s="168">
        <f t="shared" si="16"/>
        <v>4.7425349391956368</v>
      </c>
      <c r="H81" s="139">
        <f t="shared" si="17"/>
        <v>230.83716124226072</v>
      </c>
      <c r="I81" s="139">
        <f>H81*'Unit Cost Table'!$D$32</f>
        <v>13.550141364920705</v>
      </c>
      <c r="J81" s="183">
        <f t="shared" si="18"/>
        <v>81.300848189524231</v>
      </c>
      <c r="K81" s="182">
        <f>$S$56*$O$20</f>
        <v>16445.617527434333</v>
      </c>
      <c r="L81" s="139">
        <f t="shared" si="19"/>
        <v>0.24917602314294443</v>
      </c>
      <c r="M81" s="139">
        <f t="shared" si="20"/>
        <v>12.128342030034416</v>
      </c>
      <c r="N81" s="142">
        <f>M81*'Unit Cost Table'!$D$32</f>
        <v>0.71193367716302025</v>
      </c>
      <c r="O81" s="166">
        <f t="shared" si="21"/>
        <v>4.983535740141142</v>
      </c>
      <c r="P81" s="142">
        <f t="shared" si="22"/>
        <v>60000</v>
      </c>
      <c r="Q81" s="142">
        <f t="shared" si="25"/>
        <v>4615.3846153846152</v>
      </c>
      <c r="R81" s="142">
        <f t="shared" si="26"/>
        <v>60000</v>
      </c>
      <c r="S81" s="142">
        <v>0</v>
      </c>
      <c r="T81" s="166">
        <f t="shared" si="23"/>
        <v>86.284383929665367</v>
      </c>
      <c r="X81" s="155"/>
      <c r="Y81" s="177"/>
      <c r="AC81" s="177"/>
      <c r="AD81" s="177"/>
      <c r="AE81" s="177"/>
      <c r="AF81" s="178"/>
      <c r="AJ81" s="178"/>
      <c r="AK81" s="177"/>
      <c r="AL81" s="178"/>
      <c r="AM81" s="178"/>
      <c r="AN81" s="179"/>
      <c r="AO81" s="178"/>
      <c r="AP81" s="178"/>
    </row>
    <row r="82" spans="3:42" x14ac:dyDescent="0.25">
      <c r="D82" s="143" t="str">
        <f t="shared" ref="D82:E82" si="37">D57</f>
        <v>Blackman's Seep (Pond #2)</v>
      </c>
      <c r="E82" s="162" t="str">
        <f t="shared" si="37"/>
        <v>Upper Creek Containment Pond 1</v>
      </c>
      <c r="F82" s="182">
        <f>$S$57*$O$19+$T$57</f>
        <v>0</v>
      </c>
      <c r="G82" s="168">
        <f t="shared" si="16"/>
        <v>0</v>
      </c>
      <c r="H82" s="139">
        <f t="shared" si="17"/>
        <v>0</v>
      </c>
      <c r="I82" s="139">
        <f>H82*'Unit Cost Table'!$D$32</f>
        <v>0</v>
      </c>
      <c r="J82" s="183">
        <f t="shared" si="18"/>
        <v>0</v>
      </c>
      <c r="K82" s="182">
        <f>$S$57*$O$20</f>
        <v>0</v>
      </c>
      <c r="L82" s="139">
        <f t="shared" si="19"/>
        <v>0</v>
      </c>
      <c r="M82" s="139">
        <f t="shared" si="20"/>
        <v>0</v>
      </c>
      <c r="N82" s="142">
        <f>M82*'Unit Cost Table'!$D$32</f>
        <v>0</v>
      </c>
      <c r="O82" s="166">
        <f t="shared" si="21"/>
        <v>0</v>
      </c>
      <c r="P82" s="142">
        <f t="shared" si="22"/>
        <v>15000</v>
      </c>
      <c r="Q82" s="142">
        <f t="shared" si="25"/>
        <v>1153.8461538461538</v>
      </c>
      <c r="R82" s="142">
        <f t="shared" si="26"/>
        <v>11538.461538461539</v>
      </c>
      <c r="S82" s="142">
        <v>0</v>
      </c>
      <c r="T82" s="166">
        <f t="shared" si="23"/>
        <v>0</v>
      </c>
      <c r="X82" s="155"/>
      <c r="Y82" s="177"/>
      <c r="AC82" s="177"/>
      <c r="AD82" s="177"/>
      <c r="AE82" s="177"/>
      <c r="AF82" s="178"/>
      <c r="AJ82" s="178"/>
      <c r="AK82" s="177"/>
      <c r="AL82" s="178"/>
      <c r="AM82" s="178"/>
      <c r="AN82" s="179"/>
      <c r="AO82" s="178"/>
      <c r="AP82" s="178"/>
    </row>
    <row r="83" spans="3:42" x14ac:dyDescent="0.25">
      <c r="D83" s="143" t="str">
        <f t="shared" ref="D83:E83" si="38">D58</f>
        <v>Surge Tank</v>
      </c>
      <c r="E83" s="162" t="str">
        <f t="shared" si="38"/>
        <v>Reclaim Pond</v>
      </c>
      <c r="F83" s="182">
        <f>$S$58*$O$19+$T$58</f>
        <v>0</v>
      </c>
      <c r="G83" s="168">
        <f t="shared" si="16"/>
        <v>0</v>
      </c>
      <c r="H83" s="139">
        <f t="shared" si="17"/>
        <v>0</v>
      </c>
      <c r="I83" s="139">
        <f>H83*'Unit Cost Table'!$D$32</f>
        <v>0</v>
      </c>
      <c r="J83" s="183">
        <f t="shared" si="18"/>
        <v>0</v>
      </c>
      <c r="K83" s="182">
        <f>$S$58*$O$20</f>
        <v>0</v>
      </c>
      <c r="L83" s="139">
        <f t="shared" si="19"/>
        <v>0</v>
      </c>
      <c r="M83" s="139">
        <f t="shared" si="20"/>
        <v>0</v>
      </c>
      <c r="N83" s="142">
        <f>M83*'Unit Cost Table'!$D$32</f>
        <v>0</v>
      </c>
      <c r="O83" s="166">
        <f t="shared" si="21"/>
        <v>0</v>
      </c>
      <c r="P83" s="142">
        <f t="shared" si="22"/>
        <v>60000</v>
      </c>
      <c r="Q83" s="142">
        <f t="shared" si="25"/>
        <v>4615.3846153846152</v>
      </c>
      <c r="R83" s="142">
        <f t="shared" si="26"/>
        <v>46153.846153846156</v>
      </c>
      <c r="S83" s="142">
        <v>0</v>
      </c>
      <c r="T83" s="166">
        <f t="shared" si="23"/>
        <v>0</v>
      </c>
      <c r="X83" s="155"/>
      <c r="Y83" s="177"/>
      <c r="AC83" s="177"/>
      <c r="AD83" s="177"/>
      <c r="AE83" s="177"/>
      <c r="AF83" s="178"/>
      <c r="AJ83" s="178"/>
      <c r="AK83" s="177"/>
      <c r="AL83" s="178"/>
      <c r="AM83" s="178"/>
      <c r="AN83" s="179"/>
      <c r="AO83" s="178"/>
      <c r="AP83" s="178"/>
    </row>
    <row r="84" spans="3:42" x14ac:dyDescent="0.25">
      <c r="D84" s="143" t="str">
        <f t="shared" ref="D84:E84" si="39">D59</f>
        <v>Reclaim Pond</v>
      </c>
      <c r="E84" s="162" t="str">
        <f t="shared" si="39"/>
        <v>Surge Tank</v>
      </c>
      <c r="F84" s="182">
        <f>$S$59*$O$19+$T$59</f>
        <v>15221786.064994294</v>
      </c>
      <c r="G84" s="168">
        <f t="shared" si="16"/>
        <v>204.59389872304158</v>
      </c>
      <c r="H84" s="184" t="s">
        <v>51</v>
      </c>
      <c r="I84" s="139">
        <f>G84*O12*'Unit Cost Table'!$D$34</f>
        <v>478.74972301191724</v>
      </c>
      <c r="J84" s="183">
        <f t="shared" si="18"/>
        <v>2872.4983380715034</v>
      </c>
      <c r="K84" s="182">
        <f>$S$59*$O$20</f>
        <v>799763.03083415271</v>
      </c>
      <c r="L84" s="139">
        <f t="shared" si="19"/>
        <v>10.74950310260958</v>
      </c>
      <c r="M84" s="184">
        <f>L84*O12*'Unit Cost Table'!$D$34</f>
        <v>25.153837260106418</v>
      </c>
      <c r="N84" s="142">
        <f>M84*'Unit Cost Table'!$D$32</f>
        <v>1.4765302471682467</v>
      </c>
      <c r="O84" s="166">
        <f t="shared" si="21"/>
        <v>0</v>
      </c>
      <c r="P84" s="142">
        <f t="shared" si="22"/>
        <v>30000</v>
      </c>
      <c r="Q84" s="142">
        <f t="shared" si="25"/>
        <v>2307.6923076923076</v>
      </c>
      <c r="R84" s="142">
        <f t="shared" si="26"/>
        <v>13846.153846153846</v>
      </c>
      <c r="S84" s="142">
        <v>0</v>
      </c>
      <c r="T84" s="166">
        <f t="shared" si="23"/>
        <v>2872.4983380715034</v>
      </c>
      <c r="X84" s="155"/>
      <c r="Y84" s="177"/>
      <c r="AC84" s="177"/>
      <c r="AD84" s="177"/>
      <c r="AE84" s="177"/>
      <c r="AF84" s="178"/>
      <c r="AJ84" s="178"/>
      <c r="AK84" s="177"/>
      <c r="AL84" s="178"/>
      <c r="AM84" s="178"/>
      <c r="AN84" s="179"/>
      <c r="AO84" s="178"/>
      <c r="AP84" s="178"/>
    </row>
    <row r="85" spans="3:42" x14ac:dyDescent="0.25">
      <c r="D85" s="143" t="str">
        <f t="shared" ref="D85:E85" si="40">D60</f>
        <v>East WRF Containment</v>
      </c>
      <c r="E85" s="162" t="str">
        <f t="shared" si="40"/>
        <v>Decant Pond #4</v>
      </c>
      <c r="F85" s="182">
        <f>$S$60*$O$19+$T$60</f>
        <v>3784850.9845979172</v>
      </c>
      <c r="G85" s="168">
        <f t="shared" si="16"/>
        <v>31.540424871649311</v>
      </c>
      <c r="H85" s="139">
        <f>$R60*G85</f>
        <v>3359.009136059592</v>
      </c>
      <c r="I85" s="139">
        <f>H85*'Unit Cost Table'!$D$32</f>
        <v>197.17383628669805</v>
      </c>
      <c r="J85" s="183">
        <f t="shared" si="18"/>
        <v>1183.0430177201883</v>
      </c>
      <c r="K85" s="182">
        <f>$S$60*$O$20</f>
        <v>176600.6312946025</v>
      </c>
      <c r="L85" s="139">
        <f t="shared" si="19"/>
        <v>1.4716719274550207</v>
      </c>
      <c r="M85" s="139">
        <f>$R60*L85</f>
        <v>156.73090865834445</v>
      </c>
      <c r="N85" s="142">
        <f>M85*'Unit Cost Table'!$D$32</f>
        <v>9.2001043382448202</v>
      </c>
      <c r="O85" s="166">
        <f t="shared" si="21"/>
        <v>64.400730367713749</v>
      </c>
      <c r="P85" s="142">
        <f t="shared" si="22"/>
        <v>0</v>
      </c>
      <c r="Q85" s="142">
        <f t="shared" si="25"/>
        <v>0</v>
      </c>
      <c r="R85" s="142">
        <f t="shared" si="26"/>
        <v>0</v>
      </c>
      <c r="S85" s="142">
        <v>0</v>
      </c>
      <c r="T85" s="166">
        <f t="shared" si="23"/>
        <v>1247.4437480879021</v>
      </c>
      <c r="X85" s="155"/>
      <c r="Y85" s="177"/>
      <c r="AC85" s="177"/>
      <c r="AD85" s="177"/>
      <c r="AE85" s="177"/>
      <c r="AF85" s="178"/>
      <c r="AJ85" s="178"/>
      <c r="AK85" s="177"/>
      <c r="AL85" s="178"/>
      <c r="AM85" s="178"/>
      <c r="AN85" s="179"/>
      <c r="AO85" s="178"/>
      <c r="AP85" s="178"/>
    </row>
    <row r="86" spans="3:42" x14ac:dyDescent="0.25">
      <c r="D86" s="281" t="str">
        <f t="shared" ref="D86" si="41">D61</f>
        <v xml:space="preserve">tailings pipeline flushing </v>
      </c>
      <c r="E86" s="162"/>
      <c r="F86" s="182"/>
      <c r="G86" s="168"/>
      <c r="H86" s="139"/>
      <c r="I86" s="139"/>
      <c r="J86" s="183"/>
      <c r="K86" s="185"/>
      <c r="L86" s="139"/>
      <c r="M86" s="139"/>
      <c r="N86" s="142"/>
      <c r="O86" s="166"/>
      <c r="P86" s="142"/>
      <c r="Q86" s="142"/>
      <c r="R86" s="140"/>
      <c r="S86" s="142"/>
      <c r="T86" s="166"/>
      <c r="X86" s="155"/>
      <c r="Y86" s="177"/>
      <c r="AC86" s="177"/>
      <c r="AD86" s="177"/>
      <c r="AE86" s="177"/>
      <c r="AF86" s="178"/>
      <c r="AJ86" s="178"/>
      <c r="AK86" s="177"/>
      <c r="AL86" s="178"/>
      <c r="AM86" s="178"/>
      <c r="AN86" s="179"/>
      <c r="AO86" s="178"/>
      <c r="AP86" s="178"/>
    </row>
    <row r="87" spans="3:42" x14ac:dyDescent="0.25">
      <c r="D87" s="143" t="str">
        <f t="shared" ref="D87:E87" si="42">D62</f>
        <v>Mill No 1</v>
      </c>
      <c r="E87" s="162" t="str">
        <f t="shared" si="42"/>
        <v>Tailings Impoundment Top</v>
      </c>
      <c r="F87" s="182">
        <v>5764479</v>
      </c>
      <c r="G87" s="168">
        <f>F87/($L62*60)</f>
        <v>22.249803149606301</v>
      </c>
      <c r="H87" s="139">
        <f>$R62*G87</f>
        <v>4864.634205438756</v>
      </c>
      <c r="I87" s="184"/>
      <c r="J87" s="186"/>
      <c r="K87" s="185"/>
      <c r="L87" s="140"/>
      <c r="M87" s="139"/>
      <c r="N87" s="160"/>
      <c r="O87" s="166"/>
      <c r="P87" s="142"/>
      <c r="Q87" s="160"/>
      <c r="R87" s="142"/>
      <c r="S87" s="140"/>
      <c r="T87" s="166"/>
      <c r="X87" s="155"/>
      <c r="Y87" s="177"/>
      <c r="AC87" s="177"/>
      <c r="AD87" s="177"/>
      <c r="AE87" s="177"/>
      <c r="AF87" s="178"/>
      <c r="AJ87" s="178"/>
      <c r="AK87" s="177"/>
      <c r="AL87" s="178"/>
      <c r="AM87" s="178"/>
      <c r="AN87" s="179"/>
      <c r="AO87" s="178"/>
      <c r="AP87" s="178"/>
    </row>
    <row r="88" spans="3:42" ht="13.8" thickBot="1" x14ac:dyDescent="0.3">
      <c r="D88" s="148" t="str">
        <f t="shared" ref="D88:E88" si="43">D63</f>
        <v>Mill No 2</v>
      </c>
      <c r="E88" s="171" t="str">
        <f t="shared" si="43"/>
        <v>Tailings Impoundment Top</v>
      </c>
      <c r="F88" s="187">
        <v>6800790</v>
      </c>
      <c r="G88" s="173">
        <f>F88/($L63*60)</f>
        <v>26.249768411301527</v>
      </c>
      <c r="H88" s="150">
        <f>$R63*G88</f>
        <v>1927.7357067587864</v>
      </c>
      <c r="I88" s="188"/>
      <c r="J88" s="189"/>
      <c r="K88" s="190"/>
      <c r="L88" s="152"/>
      <c r="M88" s="152"/>
      <c r="N88" s="154"/>
      <c r="O88" s="191"/>
      <c r="P88" s="154"/>
      <c r="Q88" s="152"/>
      <c r="R88" s="152"/>
      <c r="S88" s="152"/>
      <c r="T88" s="166"/>
      <c r="X88" s="155"/>
      <c r="Y88" s="177"/>
      <c r="AC88" s="177"/>
      <c r="AD88" s="177"/>
      <c r="AE88" s="177"/>
      <c r="AF88" s="178"/>
      <c r="AJ88" s="178"/>
      <c r="AK88" s="177"/>
      <c r="AL88" s="178"/>
      <c r="AM88" s="178"/>
      <c r="AN88" s="179"/>
      <c r="AO88" s="178"/>
      <c r="AP88" s="178"/>
    </row>
    <row r="89" spans="3:42" x14ac:dyDescent="0.25">
      <c r="E89" s="156" t="s">
        <v>284</v>
      </c>
      <c r="F89" s="192" t="s">
        <v>51</v>
      </c>
      <c r="G89" s="157" t="s">
        <v>51</v>
      </c>
      <c r="H89" s="157" t="s">
        <v>51</v>
      </c>
      <c r="I89" s="142">
        <f>SUM(I70:I85)</f>
        <v>3560.810513630594</v>
      </c>
      <c r="J89" s="193" t="s">
        <v>51</v>
      </c>
      <c r="K89" s="192" t="s">
        <v>51</v>
      </c>
      <c r="L89" s="157" t="s">
        <v>51</v>
      </c>
      <c r="M89" s="157" t="s">
        <v>51</v>
      </c>
      <c r="N89" s="142">
        <f>SUM(N70:N85)</f>
        <v>1960.9431910367589</v>
      </c>
      <c r="O89" s="194" t="s">
        <v>51</v>
      </c>
      <c r="P89" s="195" t="s">
        <v>51</v>
      </c>
      <c r="Q89" s="196">
        <f>SUM(Q70:Q85)</f>
        <v>49230.769230769234</v>
      </c>
      <c r="R89" s="197" t="s">
        <v>51</v>
      </c>
      <c r="S89" s="195" t="s">
        <v>51</v>
      </c>
      <c r="T89" s="209" t="s">
        <v>51</v>
      </c>
      <c r="X89" s="155"/>
      <c r="Y89" s="177"/>
      <c r="AC89" s="177"/>
      <c r="AD89" s="177"/>
      <c r="AE89" s="177"/>
      <c r="AF89" s="178"/>
      <c r="AJ89" s="178"/>
      <c r="AK89" s="177"/>
      <c r="AL89" s="178"/>
      <c r="AM89" s="178"/>
      <c r="AN89" s="179"/>
      <c r="AO89" s="178"/>
      <c r="AP89" s="178"/>
    </row>
    <row r="90" spans="3:42" ht="13.8" thickBot="1" x14ac:dyDescent="0.3">
      <c r="E90" s="156" t="s">
        <v>126</v>
      </c>
      <c r="F90" s="199" t="s">
        <v>51</v>
      </c>
      <c r="G90" s="200" t="s">
        <v>51</v>
      </c>
      <c r="H90" s="200" t="s">
        <v>51</v>
      </c>
      <c r="I90" s="159" t="s">
        <v>51</v>
      </c>
      <c r="J90" s="191">
        <f>SUM(J70:J85)</f>
        <v>21364.863081783558</v>
      </c>
      <c r="K90" s="199" t="s">
        <v>51</v>
      </c>
      <c r="L90" s="200" t="s">
        <v>51</v>
      </c>
      <c r="M90" s="200" t="s">
        <v>51</v>
      </c>
      <c r="N90" s="201" t="s">
        <v>51</v>
      </c>
      <c r="O90" s="191">
        <f>SUM(O70:O85)</f>
        <v>13709.406759449397</v>
      </c>
      <c r="P90" s="154">
        <v>0</v>
      </c>
      <c r="Q90" s="159" t="s">
        <v>51</v>
      </c>
      <c r="R90" s="154">
        <f>SUM(R70:R85)</f>
        <v>544615.38461538474</v>
      </c>
      <c r="S90" s="154">
        <f>SUM(S70:S85)</f>
        <v>0</v>
      </c>
      <c r="T90" s="191">
        <f>J90+O90</f>
        <v>35074.269841232956</v>
      </c>
      <c r="X90" s="155"/>
      <c r="Y90" s="177"/>
      <c r="AC90" s="177"/>
      <c r="AD90" s="177"/>
      <c r="AE90" s="177"/>
      <c r="AF90" s="178"/>
      <c r="AJ90" s="178"/>
      <c r="AK90" s="177"/>
      <c r="AL90" s="178"/>
      <c r="AM90" s="178"/>
      <c r="AN90" s="179"/>
      <c r="AO90" s="178"/>
      <c r="AP90" s="178"/>
    </row>
    <row r="91" spans="3:42" x14ac:dyDescent="0.25">
      <c r="F91" s="175"/>
      <c r="O91" s="176"/>
      <c r="X91" s="155"/>
      <c r="Y91" s="177"/>
      <c r="AC91" s="177"/>
      <c r="AD91" s="177"/>
      <c r="AE91" s="177"/>
      <c r="AF91" s="178"/>
      <c r="AJ91" s="178"/>
      <c r="AK91" s="177"/>
      <c r="AL91" s="178"/>
      <c r="AM91" s="178"/>
      <c r="AN91" s="179"/>
      <c r="AO91" s="178"/>
      <c r="AP91" s="178"/>
    </row>
    <row r="92" spans="3:42" x14ac:dyDescent="0.25">
      <c r="F92" s="175"/>
      <c r="U92" s="175"/>
      <c r="V92" s="175"/>
      <c r="W92" s="175"/>
      <c r="X92" s="176"/>
      <c r="AF92" s="178"/>
    </row>
    <row r="93" spans="3:42" ht="13.8" thickBot="1" x14ac:dyDescent="0.3">
      <c r="C93" s="132"/>
      <c r="D93" s="132" t="s">
        <v>45</v>
      </c>
      <c r="AL93" s="216"/>
      <c r="AM93" s="216"/>
    </row>
    <row r="94" spans="3:42" s="202" customFormat="1" ht="52.8" x14ac:dyDescent="0.25">
      <c r="D94" s="180" t="s">
        <v>28</v>
      </c>
      <c r="E94" s="134" t="s">
        <v>27</v>
      </c>
      <c r="F94" s="134" t="s">
        <v>21</v>
      </c>
      <c r="G94" s="134" t="s">
        <v>97</v>
      </c>
      <c r="H94" s="134" t="s">
        <v>33</v>
      </c>
      <c r="I94" s="134" t="s">
        <v>14</v>
      </c>
      <c r="J94" s="134" t="s">
        <v>138</v>
      </c>
      <c r="K94" s="134" t="s">
        <v>323</v>
      </c>
      <c r="L94" s="134" t="s">
        <v>98</v>
      </c>
      <c r="M94" s="134" t="s">
        <v>54</v>
      </c>
      <c r="N94" s="134" t="s">
        <v>248</v>
      </c>
      <c r="O94" s="134" t="s">
        <v>278</v>
      </c>
      <c r="P94" s="134" t="s">
        <v>166</v>
      </c>
      <c r="Q94" s="135" t="s">
        <v>247</v>
      </c>
      <c r="R94" s="272" t="s">
        <v>163</v>
      </c>
      <c r="S94" s="272" t="s">
        <v>286</v>
      </c>
      <c r="T94" s="181" t="s">
        <v>290</v>
      </c>
      <c r="U94" s="136"/>
      <c r="V94" s="136"/>
      <c r="W94" s="136"/>
      <c r="Z94" s="203"/>
      <c r="AA94" s="204"/>
      <c r="AB94" s="205"/>
      <c r="AC94" s="204"/>
      <c r="AD94" s="203"/>
      <c r="AI94" s="283"/>
    </row>
    <row r="95" spans="3:42" x14ac:dyDescent="0.25">
      <c r="D95" s="143" t="str">
        <f t="shared" ref="D95:E105" si="44">D45</f>
        <v>SWRF Dam 1 (181-2003-Dam 1)</v>
      </c>
      <c r="E95" s="162" t="str">
        <f t="shared" si="44"/>
        <v>SWRF Dam 3 (181-2003-Dam 3)</v>
      </c>
      <c r="F95" s="140" t="s">
        <v>29</v>
      </c>
      <c r="G95" s="139">
        <v>4466</v>
      </c>
      <c r="H95" s="140">
        <v>10</v>
      </c>
      <c r="I95" s="140">
        <f>11+4</f>
        <v>15</v>
      </c>
      <c r="J95" s="140">
        <f>I95+'1 Reclamation and O&amp;M costs'!$O$22-'1 Reclamation and O&amp;M costs'!$O$21</f>
        <v>21</v>
      </c>
      <c r="K95" s="140">
        <f t="shared" ref="K95:K105" si="45">I45</f>
        <v>12</v>
      </c>
      <c r="L95" s="140" t="str">
        <f t="shared" ref="L95:L112" si="46">IF(($O$10-J95)&gt;K95,"-",IF($O$10-J95&lt;K95,$O$10-J95,"-"))</f>
        <v>-</v>
      </c>
      <c r="M95" s="140">
        <f>COUNT(L95)</f>
        <v>0</v>
      </c>
      <c r="N95" s="145">
        <f>'Unit Cost Table'!$D$27</f>
        <v>19.169999999999998</v>
      </c>
      <c r="O95" s="145">
        <f>'Unit Cost Table'!$D$15</f>
        <v>3.75</v>
      </c>
      <c r="P95" s="142">
        <f t="shared" ref="P95:P107" si="47">N95*G95</f>
        <v>85613.219999999987</v>
      </c>
      <c r="Q95" s="141">
        <f t="shared" ref="Q95:Q112" si="48">P95*M95</f>
        <v>0</v>
      </c>
      <c r="R95" s="142">
        <f t="shared" ref="R95:R112" si="49">P95*$O$17</f>
        <v>856.1321999999999</v>
      </c>
      <c r="S95" s="142">
        <f t="shared" ref="S95:S112" si="50">R95*(K95+1)</f>
        <v>11129.718599999998</v>
      </c>
      <c r="T95" s="166">
        <f>O95*G95</f>
        <v>16747.5</v>
      </c>
      <c r="U95" s="145"/>
      <c r="V95" s="206"/>
      <c r="W95" s="206"/>
      <c r="AA95" s="204"/>
      <c r="AC95" s="204"/>
      <c r="AD95" s="203"/>
    </row>
    <row r="96" spans="3:42" x14ac:dyDescent="0.25">
      <c r="D96" s="143" t="str">
        <f t="shared" si="44"/>
        <v>SWRF Dam 2 (181-2003-Dam 2)</v>
      </c>
      <c r="E96" s="162" t="str">
        <f t="shared" si="44"/>
        <v>SWRF Dam 3 (181-2003-Dam 3)</v>
      </c>
      <c r="F96" s="140" t="s">
        <v>29</v>
      </c>
      <c r="G96" s="139">
        <v>3300</v>
      </c>
      <c r="H96" s="140">
        <v>10</v>
      </c>
      <c r="I96" s="140">
        <f t="shared" ref="I96:I97" si="51">11+4</f>
        <v>15</v>
      </c>
      <c r="J96" s="140">
        <f>I96+'1 Reclamation and O&amp;M costs'!$O$22-'1 Reclamation and O&amp;M costs'!$O$21</f>
        <v>21</v>
      </c>
      <c r="K96" s="140">
        <f t="shared" si="45"/>
        <v>12</v>
      </c>
      <c r="L96" s="140" t="str">
        <f t="shared" si="46"/>
        <v>-</v>
      </c>
      <c r="M96" s="140">
        <f t="shared" ref="M96:M112" si="52">COUNT(L96)</f>
        <v>0</v>
      </c>
      <c r="N96" s="145">
        <f>'Unit Cost Table'!$D$27</f>
        <v>19.169999999999998</v>
      </c>
      <c r="O96" s="145">
        <f>'Unit Cost Table'!$D$15</f>
        <v>3.75</v>
      </c>
      <c r="P96" s="142">
        <f t="shared" si="47"/>
        <v>63260.999999999993</v>
      </c>
      <c r="Q96" s="141">
        <f t="shared" si="48"/>
        <v>0</v>
      </c>
      <c r="R96" s="142">
        <f t="shared" si="49"/>
        <v>632.6099999999999</v>
      </c>
      <c r="S96" s="142">
        <f t="shared" si="50"/>
        <v>8223.9299999999985</v>
      </c>
      <c r="T96" s="166">
        <f>O96*G96</f>
        <v>12375</v>
      </c>
      <c r="U96" s="145"/>
      <c r="V96" s="206"/>
      <c r="W96" s="206"/>
      <c r="AA96" s="204"/>
      <c r="AB96" s="205"/>
      <c r="AC96" s="204"/>
      <c r="AD96" s="203"/>
    </row>
    <row r="97" spans="4:30" x14ac:dyDescent="0.25">
      <c r="D97" s="143" t="str">
        <f t="shared" si="44"/>
        <v>SWRF Dam 3 (181-2003-Dam 3)</v>
      </c>
      <c r="E97" s="162" t="str">
        <f t="shared" si="44"/>
        <v xml:space="preserve">Bullfrog pipeline </v>
      </c>
      <c r="F97" s="140" t="s">
        <v>29</v>
      </c>
      <c r="G97" s="139">
        <v>220</v>
      </c>
      <c r="H97" s="140">
        <v>6</v>
      </c>
      <c r="I97" s="140">
        <f t="shared" si="51"/>
        <v>15</v>
      </c>
      <c r="J97" s="140">
        <f>I97+'1 Reclamation and O&amp;M costs'!$O$22-'1 Reclamation and O&amp;M costs'!$O$21</f>
        <v>21</v>
      </c>
      <c r="K97" s="140">
        <f t="shared" si="45"/>
        <v>12</v>
      </c>
      <c r="L97" s="140" t="str">
        <f t="shared" si="46"/>
        <v>-</v>
      </c>
      <c r="M97" s="140">
        <f t="shared" si="52"/>
        <v>0</v>
      </c>
      <c r="N97" s="145">
        <f>'Unit Cost Table'!$D$25</f>
        <v>11.209999999999999</v>
      </c>
      <c r="O97" s="145">
        <f>'Unit Cost Table'!$D$15</f>
        <v>3.75</v>
      </c>
      <c r="P97" s="142">
        <f t="shared" si="47"/>
        <v>2466.1999999999998</v>
      </c>
      <c r="Q97" s="141">
        <f t="shared" si="48"/>
        <v>0</v>
      </c>
      <c r="R97" s="142">
        <f t="shared" si="49"/>
        <v>24.661999999999999</v>
      </c>
      <c r="S97" s="142">
        <f t="shared" si="50"/>
        <v>320.60599999999999</v>
      </c>
      <c r="T97" s="166">
        <f t="shared" ref="T97:T112" si="53">O97*G97</f>
        <v>825</v>
      </c>
      <c r="U97" s="145"/>
      <c r="V97" s="206"/>
      <c r="W97" s="206"/>
      <c r="AA97" s="204"/>
      <c r="AB97" s="205"/>
      <c r="AC97" s="204"/>
      <c r="AD97" s="203"/>
    </row>
    <row r="98" spans="4:30" x14ac:dyDescent="0.25">
      <c r="D98" s="143" t="str">
        <f t="shared" si="44"/>
        <v>Decant Pond #4</v>
      </c>
      <c r="E98" s="162" t="str">
        <f t="shared" si="44"/>
        <v>Booster Pump 2</v>
      </c>
      <c r="F98" s="140" t="s">
        <v>29</v>
      </c>
      <c r="G98" s="139">
        <v>100</v>
      </c>
      <c r="H98" s="140">
        <v>15</v>
      </c>
      <c r="I98" s="140">
        <f>20+4</f>
        <v>24</v>
      </c>
      <c r="J98" s="140">
        <f>I98+'1 Reclamation and O&amp;M costs'!$O$22-'1 Reclamation and O&amp;M costs'!$O$21</f>
        <v>30</v>
      </c>
      <c r="K98" s="140">
        <f t="shared" si="45"/>
        <v>12</v>
      </c>
      <c r="L98" s="140" t="str">
        <f t="shared" si="46"/>
        <v>-</v>
      </c>
      <c r="M98" s="140">
        <f t="shared" si="52"/>
        <v>0</v>
      </c>
      <c r="N98" s="145">
        <f>'Unit Cost Table'!$D$30</f>
        <v>39.269999999999996</v>
      </c>
      <c r="O98" s="145">
        <f>'Unit Cost Table'!$D$15</f>
        <v>3.75</v>
      </c>
      <c r="P98" s="142">
        <f t="shared" si="47"/>
        <v>3926.9999999999995</v>
      </c>
      <c r="Q98" s="141">
        <f t="shared" si="48"/>
        <v>0</v>
      </c>
      <c r="R98" s="142">
        <f t="shared" si="49"/>
        <v>39.269999999999996</v>
      </c>
      <c r="S98" s="142">
        <f t="shared" si="50"/>
        <v>510.50999999999993</v>
      </c>
      <c r="T98" s="166">
        <f t="shared" si="53"/>
        <v>375</v>
      </c>
      <c r="U98" s="145"/>
      <c r="V98" s="206"/>
      <c r="W98" s="206"/>
      <c r="AA98" s="204"/>
      <c r="AC98" s="204"/>
      <c r="AD98" s="203"/>
    </row>
    <row r="99" spans="4:30" x14ac:dyDescent="0.25">
      <c r="D99" s="143" t="str">
        <f t="shared" si="44"/>
        <v>Booster Pump 2</v>
      </c>
      <c r="E99" s="162" t="str">
        <f t="shared" si="44"/>
        <v>Surge Tank</v>
      </c>
      <c r="F99" s="140" t="s">
        <v>29</v>
      </c>
      <c r="G99" s="139">
        <v>1936</v>
      </c>
      <c r="H99" s="140">
        <v>15</v>
      </c>
      <c r="I99" s="140">
        <f t="shared" ref="I99:I108" si="54">20+4</f>
        <v>24</v>
      </c>
      <c r="J99" s="140">
        <f>I99+'1 Reclamation and O&amp;M costs'!$O$22-'1 Reclamation and O&amp;M costs'!$O$21</f>
        <v>30</v>
      </c>
      <c r="K99" s="140">
        <f t="shared" si="45"/>
        <v>12</v>
      </c>
      <c r="L99" s="140" t="str">
        <f t="shared" si="46"/>
        <v>-</v>
      </c>
      <c r="M99" s="140">
        <f t="shared" si="52"/>
        <v>0</v>
      </c>
      <c r="N99" s="145">
        <f>'Unit Cost Table'!$D$30</f>
        <v>39.269999999999996</v>
      </c>
      <c r="O99" s="145">
        <f>'Unit Cost Table'!$D$15</f>
        <v>3.75</v>
      </c>
      <c r="P99" s="142">
        <f t="shared" si="47"/>
        <v>76026.719999999987</v>
      </c>
      <c r="Q99" s="141">
        <f t="shared" si="48"/>
        <v>0</v>
      </c>
      <c r="R99" s="142">
        <f t="shared" si="49"/>
        <v>760.26719999999989</v>
      </c>
      <c r="S99" s="142">
        <f t="shared" si="50"/>
        <v>9883.4735999999994</v>
      </c>
      <c r="T99" s="166">
        <f t="shared" si="53"/>
        <v>7260</v>
      </c>
      <c r="U99" s="145"/>
      <c r="V99" s="206"/>
      <c r="W99" s="206"/>
      <c r="AA99" s="204"/>
      <c r="AB99" s="205"/>
      <c r="AC99" s="204"/>
      <c r="AD99" s="203"/>
    </row>
    <row r="100" spans="4:30" x14ac:dyDescent="0.25">
      <c r="D100" s="143" t="str">
        <f t="shared" si="44"/>
        <v>Decant Pond #4</v>
      </c>
      <c r="E100" s="162" t="str">
        <f t="shared" si="44"/>
        <v>Reclaim Pond</v>
      </c>
      <c r="F100" s="140" t="s">
        <v>29</v>
      </c>
      <c r="G100" s="139">
        <v>5502</v>
      </c>
      <c r="H100" s="140">
        <v>12</v>
      </c>
      <c r="I100" s="140">
        <f t="shared" si="54"/>
        <v>24</v>
      </c>
      <c r="J100" s="140">
        <f>I100+'1 Reclamation and O&amp;M costs'!$O$22-'1 Reclamation and O&amp;M costs'!$O$21</f>
        <v>30</v>
      </c>
      <c r="K100" s="140">
        <f t="shared" si="45"/>
        <v>5</v>
      </c>
      <c r="L100" s="140" t="str">
        <f t="shared" si="46"/>
        <v>-</v>
      </c>
      <c r="M100" s="140">
        <f t="shared" si="52"/>
        <v>0</v>
      </c>
      <c r="N100" s="145">
        <f>'Unit Cost Table'!$D$28</f>
        <v>22.060000000000002</v>
      </c>
      <c r="O100" s="145">
        <f>'Unit Cost Table'!$D$15</f>
        <v>3.75</v>
      </c>
      <c r="P100" s="142">
        <f t="shared" si="47"/>
        <v>121374.12000000001</v>
      </c>
      <c r="Q100" s="141">
        <f t="shared" si="48"/>
        <v>0</v>
      </c>
      <c r="R100" s="142">
        <f t="shared" si="49"/>
        <v>1213.7412000000002</v>
      </c>
      <c r="S100" s="142">
        <f t="shared" si="50"/>
        <v>7282.4472000000005</v>
      </c>
      <c r="T100" s="166">
        <f t="shared" si="53"/>
        <v>20632.5</v>
      </c>
      <c r="U100" s="145"/>
      <c r="V100" s="206"/>
      <c r="W100" s="206"/>
      <c r="AA100" s="204"/>
      <c r="AB100" s="205"/>
      <c r="AC100" s="204"/>
      <c r="AD100" s="203"/>
    </row>
    <row r="101" spans="4:30" x14ac:dyDescent="0.25">
      <c r="D101" s="143" t="str">
        <f t="shared" si="44"/>
        <v>Magnetite Interceptor Trench</v>
      </c>
      <c r="E101" s="162" t="str">
        <f t="shared" si="44"/>
        <v>Magnetite Tailings Seepage Pond</v>
      </c>
      <c r="F101" s="140" t="s">
        <v>29</v>
      </c>
      <c r="G101" s="139">
        <v>200</v>
      </c>
      <c r="H101" s="140">
        <v>5</v>
      </c>
      <c r="I101" s="140">
        <f t="shared" si="54"/>
        <v>24</v>
      </c>
      <c r="J101" s="140">
        <f>I101+'1 Reclamation and O&amp;M costs'!$O$22-'1 Reclamation and O&amp;M costs'!$O$21</f>
        <v>30</v>
      </c>
      <c r="K101" s="140">
        <f t="shared" si="45"/>
        <v>5</v>
      </c>
      <c r="L101" s="140" t="str">
        <f t="shared" si="46"/>
        <v>-</v>
      </c>
      <c r="M101" s="140">
        <f t="shared" si="52"/>
        <v>0</v>
      </c>
      <c r="N101" s="145">
        <f>'Unit Cost Table'!$D$25</f>
        <v>11.209999999999999</v>
      </c>
      <c r="O101" s="145">
        <f>'Unit Cost Table'!$D$15</f>
        <v>3.75</v>
      </c>
      <c r="P101" s="142">
        <f t="shared" si="47"/>
        <v>2242</v>
      </c>
      <c r="Q101" s="141">
        <f t="shared" si="48"/>
        <v>0</v>
      </c>
      <c r="R101" s="142">
        <f t="shared" si="49"/>
        <v>22.42</v>
      </c>
      <c r="S101" s="142">
        <f t="shared" si="50"/>
        <v>134.52000000000001</v>
      </c>
      <c r="T101" s="166">
        <f t="shared" si="53"/>
        <v>750</v>
      </c>
      <c r="U101" s="145"/>
      <c r="V101" s="206"/>
      <c r="W101" s="206"/>
      <c r="AA101" s="204"/>
      <c r="AB101" s="205"/>
      <c r="AC101" s="204"/>
      <c r="AD101" s="203"/>
    </row>
    <row r="102" spans="4:30" x14ac:dyDescent="0.25">
      <c r="D102" s="143" t="str">
        <f t="shared" si="44"/>
        <v>Magnetite Seepage Pond</v>
      </c>
      <c r="E102" s="162" t="str">
        <f t="shared" si="44"/>
        <v>Decant Pond #4</v>
      </c>
      <c r="F102" s="140" t="s">
        <v>29</v>
      </c>
      <c r="G102" s="139">
        <v>1188</v>
      </c>
      <c r="H102" s="140">
        <v>4</v>
      </c>
      <c r="I102" s="140">
        <f t="shared" si="54"/>
        <v>24</v>
      </c>
      <c r="J102" s="140">
        <f>I102+'1 Reclamation and O&amp;M costs'!$O$22-'1 Reclamation and O&amp;M costs'!$O$21</f>
        <v>30</v>
      </c>
      <c r="K102" s="140">
        <f t="shared" si="45"/>
        <v>12</v>
      </c>
      <c r="L102" s="140" t="str">
        <f t="shared" si="46"/>
        <v>-</v>
      </c>
      <c r="M102" s="140">
        <f t="shared" si="52"/>
        <v>0</v>
      </c>
      <c r="N102" s="145">
        <f>'Unit Cost Table'!$D$24</f>
        <v>7.32</v>
      </c>
      <c r="O102" s="145">
        <f>'Unit Cost Table'!$D$15</f>
        <v>3.75</v>
      </c>
      <c r="P102" s="142">
        <f t="shared" si="47"/>
        <v>8696.16</v>
      </c>
      <c r="Q102" s="141">
        <f t="shared" si="48"/>
        <v>0</v>
      </c>
      <c r="R102" s="142">
        <f t="shared" si="49"/>
        <v>86.961600000000004</v>
      </c>
      <c r="S102" s="142">
        <f t="shared" si="50"/>
        <v>1130.5008</v>
      </c>
      <c r="T102" s="166">
        <f t="shared" si="53"/>
        <v>4455</v>
      </c>
      <c r="U102" s="145"/>
      <c r="V102" s="206"/>
      <c r="W102" s="206"/>
      <c r="AA102" s="204"/>
      <c r="AB102" s="205"/>
      <c r="AC102" s="204"/>
      <c r="AD102" s="203"/>
    </row>
    <row r="103" spans="4:30" x14ac:dyDescent="0.25">
      <c r="D103" s="143" t="str">
        <f t="shared" si="44"/>
        <v>Estrada Seep</v>
      </c>
      <c r="E103" s="162" t="str">
        <f t="shared" si="44"/>
        <v>Decant Pond #4</v>
      </c>
      <c r="F103" s="140" t="s">
        <v>29</v>
      </c>
      <c r="G103" s="139">
        <v>3470</v>
      </c>
      <c r="H103" s="140">
        <v>3</v>
      </c>
      <c r="I103" s="140">
        <f t="shared" si="54"/>
        <v>24</v>
      </c>
      <c r="J103" s="140">
        <f>I103+'1 Reclamation and O&amp;M costs'!$O$22-'1 Reclamation and O&amp;M costs'!$O$21</f>
        <v>30</v>
      </c>
      <c r="K103" s="140">
        <f t="shared" si="45"/>
        <v>5</v>
      </c>
      <c r="L103" s="140" t="str">
        <f t="shared" si="46"/>
        <v>-</v>
      </c>
      <c r="M103" s="140">
        <f t="shared" si="52"/>
        <v>0</v>
      </c>
      <c r="N103" s="145">
        <f>'Unit Cost Table'!$D$24</f>
        <v>7.32</v>
      </c>
      <c r="O103" s="145">
        <f>'Unit Cost Table'!$D$15</f>
        <v>3.75</v>
      </c>
      <c r="P103" s="142">
        <f t="shared" si="47"/>
        <v>25400.400000000001</v>
      </c>
      <c r="Q103" s="141">
        <f t="shared" si="48"/>
        <v>0</v>
      </c>
      <c r="R103" s="142">
        <f t="shared" si="49"/>
        <v>254.00400000000002</v>
      </c>
      <c r="S103" s="142">
        <f t="shared" si="50"/>
        <v>1524.0240000000001</v>
      </c>
      <c r="T103" s="166">
        <f t="shared" si="53"/>
        <v>13012.5</v>
      </c>
      <c r="U103" s="145"/>
      <c r="V103" s="206"/>
      <c r="W103" s="206"/>
      <c r="AA103" s="204"/>
      <c r="AB103" s="176"/>
      <c r="AC103" s="204"/>
      <c r="AD103" s="203"/>
    </row>
    <row r="104" spans="4:30" x14ac:dyDescent="0.25">
      <c r="D104" s="143" t="str">
        <f t="shared" si="44"/>
        <v>Union Hill Adit Seep</v>
      </c>
      <c r="E104" s="162" t="str">
        <f t="shared" si="44"/>
        <v>Decant Pond #4</v>
      </c>
      <c r="F104" s="140" t="s">
        <v>29</v>
      </c>
      <c r="G104" s="139">
        <v>5250</v>
      </c>
      <c r="H104" s="140">
        <v>2</v>
      </c>
      <c r="I104" s="140">
        <f t="shared" si="54"/>
        <v>24</v>
      </c>
      <c r="J104" s="140">
        <f>I104+'1 Reclamation and O&amp;M costs'!$O$22-'1 Reclamation and O&amp;M costs'!$O$21</f>
        <v>30</v>
      </c>
      <c r="K104" s="140">
        <f t="shared" si="45"/>
        <v>5</v>
      </c>
      <c r="L104" s="140" t="str">
        <f t="shared" si="46"/>
        <v>-</v>
      </c>
      <c r="M104" s="140">
        <f t="shared" si="52"/>
        <v>0</v>
      </c>
      <c r="N104" s="145">
        <f>'Unit Cost Table'!$D$24</f>
        <v>7.32</v>
      </c>
      <c r="O104" s="145">
        <f>'Unit Cost Table'!$D$15</f>
        <v>3.75</v>
      </c>
      <c r="P104" s="142">
        <f t="shared" si="47"/>
        <v>38430</v>
      </c>
      <c r="Q104" s="141">
        <f t="shared" si="48"/>
        <v>0</v>
      </c>
      <c r="R104" s="142">
        <f t="shared" si="49"/>
        <v>384.3</v>
      </c>
      <c r="S104" s="142">
        <f t="shared" si="50"/>
        <v>2305.8000000000002</v>
      </c>
      <c r="T104" s="166">
        <f t="shared" si="53"/>
        <v>19687.5</v>
      </c>
      <c r="U104" s="145"/>
      <c r="V104" s="206"/>
      <c r="W104" s="206"/>
    </row>
    <row r="105" spans="4:30" x14ac:dyDescent="0.25">
      <c r="D105" s="143" t="str">
        <f t="shared" si="44"/>
        <v>Upper Creek Containment Pond #1</v>
      </c>
      <c r="E105" s="162" t="str">
        <f t="shared" si="44"/>
        <v>Surge Tank</v>
      </c>
      <c r="F105" s="140" t="s">
        <v>29</v>
      </c>
      <c r="G105" s="139">
        <v>1770</v>
      </c>
      <c r="H105" s="140">
        <v>6</v>
      </c>
      <c r="I105" s="140">
        <f t="shared" si="54"/>
        <v>24</v>
      </c>
      <c r="J105" s="140">
        <f>I105+'1 Reclamation and O&amp;M costs'!$O$22-'1 Reclamation and O&amp;M costs'!$O$21</f>
        <v>30</v>
      </c>
      <c r="K105" s="140">
        <f t="shared" si="45"/>
        <v>12</v>
      </c>
      <c r="L105" s="140" t="str">
        <f t="shared" si="46"/>
        <v>-</v>
      </c>
      <c r="M105" s="140">
        <f t="shared" si="52"/>
        <v>0</v>
      </c>
      <c r="N105" s="145">
        <f>'Unit Cost Table'!$D$25</f>
        <v>11.209999999999999</v>
      </c>
      <c r="O105" s="145">
        <f>'Unit Cost Table'!$D$15</f>
        <v>3.75</v>
      </c>
      <c r="P105" s="142">
        <f t="shared" si="47"/>
        <v>19841.699999999997</v>
      </c>
      <c r="Q105" s="141">
        <f t="shared" si="48"/>
        <v>0</v>
      </c>
      <c r="R105" s="142">
        <f t="shared" si="49"/>
        <v>198.41699999999997</v>
      </c>
      <c r="S105" s="142">
        <f t="shared" si="50"/>
        <v>2579.4209999999998</v>
      </c>
      <c r="T105" s="166">
        <f t="shared" si="53"/>
        <v>6637.5</v>
      </c>
      <c r="U105" s="145"/>
      <c r="V105" s="206"/>
      <c r="W105" s="206"/>
    </row>
    <row r="106" spans="4:30" x14ac:dyDescent="0.25">
      <c r="D106" s="143" t="str">
        <f>D105</f>
        <v>Upper Creek Containment Pond #1</v>
      </c>
      <c r="E106" s="162" t="str">
        <f>E105</f>
        <v>Surge Tank</v>
      </c>
      <c r="F106" s="140" t="s">
        <v>29</v>
      </c>
      <c r="G106" s="139">
        <v>1770</v>
      </c>
      <c r="H106" s="140">
        <v>8</v>
      </c>
      <c r="I106" s="140">
        <f t="shared" si="54"/>
        <v>24</v>
      </c>
      <c r="J106" s="140">
        <f>I106+'1 Reclamation and O&amp;M costs'!$O$22-'1 Reclamation and O&amp;M costs'!$O$21</f>
        <v>30</v>
      </c>
      <c r="K106" s="140">
        <f>K105</f>
        <v>12</v>
      </c>
      <c r="L106" s="140" t="str">
        <f t="shared" si="46"/>
        <v>-</v>
      </c>
      <c r="M106" s="140">
        <f t="shared" si="52"/>
        <v>0</v>
      </c>
      <c r="N106" s="145">
        <f>'Unit Cost Table'!$D$26</f>
        <v>15.780000000000001</v>
      </c>
      <c r="O106" s="145">
        <f>'Unit Cost Table'!$D$15</f>
        <v>3.75</v>
      </c>
      <c r="P106" s="142">
        <f t="shared" si="47"/>
        <v>27930.600000000002</v>
      </c>
      <c r="Q106" s="141">
        <f t="shared" si="48"/>
        <v>0</v>
      </c>
      <c r="R106" s="142">
        <f t="shared" si="49"/>
        <v>279.30600000000004</v>
      </c>
      <c r="S106" s="142">
        <f t="shared" si="50"/>
        <v>3630.9780000000005</v>
      </c>
      <c r="T106" s="166">
        <f t="shared" si="53"/>
        <v>6637.5</v>
      </c>
      <c r="U106" s="145"/>
      <c r="V106" s="206"/>
      <c r="W106" s="206"/>
    </row>
    <row r="107" spans="4:30" x14ac:dyDescent="0.25">
      <c r="D107" s="143" t="str">
        <f>D56</f>
        <v>Grape Gulch Pond #3</v>
      </c>
      <c r="E107" s="162" t="str">
        <f>E56</f>
        <v>Surge Tank</v>
      </c>
      <c r="F107" s="140" t="s">
        <v>29</v>
      </c>
      <c r="G107" s="139">
        <v>861</v>
      </c>
      <c r="H107" s="140">
        <v>8</v>
      </c>
      <c r="I107" s="140">
        <f t="shared" si="54"/>
        <v>24</v>
      </c>
      <c r="J107" s="140">
        <f>I107+'1 Reclamation and O&amp;M costs'!$O$22-'1 Reclamation and O&amp;M costs'!$O$21</f>
        <v>30</v>
      </c>
      <c r="K107" s="140">
        <f>I56</f>
        <v>12</v>
      </c>
      <c r="L107" s="140" t="str">
        <f t="shared" si="46"/>
        <v>-</v>
      </c>
      <c r="M107" s="140">
        <f t="shared" si="52"/>
        <v>0</v>
      </c>
      <c r="N107" s="145">
        <f>'Unit Cost Table'!$D$26</f>
        <v>15.780000000000001</v>
      </c>
      <c r="O107" s="145">
        <f>'Unit Cost Table'!$D$15</f>
        <v>3.75</v>
      </c>
      <c r="P107" s="142">
        <f t="shared" si="47"/>
        <v>13586.580000000002</v>
      </c>
      <c r="Q107" s="141">
        <f t="shared" si="48"/>
        <v>0</v>
      </c>
      <c r="R107" s="142">
        <f t="shared" si="49"/>
        <v>135.86580000000001</v>
      </c>
      <c r="S107" s="142">
        <f t="shared" si="50"/>
        <v>1766.2554</v>
      </c>
      <c r="T107" s="166">
        <f t="shared" si="53"/>
        <v>3228.75</v>
      </c>
      <c r="U107" s="145"/>
      <c r="V107" s="206"/>
      <c r="W107" s="206"/>
    </row>
    <row r="108" spans="4:30" x14ac:dyDescent="0.25">
      <c r="D108" s="143" t="str">
        <f>D57</f>
        <v>Blackman's Seep (Pond #2)</v>
      </c>
      <c r="E108" s="162" t="str">
        <f>E57</f>
        <v>Upper Creek Containment Pond 1</v>
      </c>
      <c r="F108" s="140" t="s">
        <v>29</v>
      </c>
      <c r="G108" s="139">
        <v>100</v>
      </c>
      <c r="H108" s="140">
        <f>ROUNDUP(2*SQRT(L57/448.8/(3*PI()))*12,0)</f>
        <v>5</v>
      </c>
      <c r="I108" s="140">
        <f t="shared" si="54"/>
        <v>24</v>
      </c>
      <c r="J108" s="140">
        <f>I108+'1 Reclamation and O&amp;M costs'!$O$22-'1 Reclamation and O&amp;M costs'!$O$21</f>
        <v>30</v>
      </c>
      <c r="K108" s="140">
        <f>I57</f>
        <v>9</v>
      </c>
      <c r="L108" s="140" t="str">
        <f t="shared" si="46"/>
        <v>-</v>
      </c>
      <c r="M108" s="140">
        <f t="shared" si="52"/>
        <v>0</v>
      </c>
      <c r="N108" s="145">
        <f>'Unit Cost Table'!$D$25</f>
        <v>11.209999999999999</v>
      </c>
      <c r="O108" s="145">
        <f>'Unit Cost Table'!$D$15</f>
        <v>3.75</v>
      </c>
      <c r="P108" s="142">
        <f>N108*G108</f>
        <v>1121</v>
      </c>
      <c r="Q108" s="141">
        <f t="shared" si="48"/>
        <v>0</v>
      </c>
      <c r="R108" s="142">
        <f t="shared" si="49"/>
        <v>11.21</v>
      </c>
      <c r="S108" s="142">
        <f t="shared" si="50"/>
        <v>112.10000000000001</v>
      </c>
      <c r="T108" s="166">
        <f>O108*G108</f>
        <v>375</v>
      </c>
      <c r="U108" s="145"/>
      <c r="V108" s="206"/>
      <c r="W108" s="206"/>
    </row>
    <row r="109" spans="4:30" x14ac:dyDescent="0.25">
      <c r="D109" s="143" t="s">
        <v>16</v>
      </c>
      <c r="E109" s="162" t="s">
        <v>188</v>
      </c>
      <c r="F109" s="140" t="s">
        <v>29</v>
      </c>
      <c r="G109" s="139">
        <v>31850</v>
      </c>
      <c r="H109" s="140">
        <v>8</v>
      </c>
      <c r="I109" s="140">
        <f>3+4</f>
        <v>7</v>
      </c>
      <c r="J109" s="140">
        <f>I109+'1 Reclamation and O&amp;M costs'!$O$22-'1 Reclamation and O&amp;M costs'!$O$21</f>
        <v>13</v>
      </c>
      <c r="K109" s="140">
        <f>M35</f>
        <v>12</v>
      </c>
      <c r="L109" s="140" t="str">
        <f t="shared" si="46"/>
        <v>-</v>
      </c>
      <c r="M109" s="140">
        <f t="shared" si="52"/>
        <v>0</v>
      </c>
      <c r="N109" s="145">
        <f>'Unit Cost Table'!$D$26</f>
        <v>15.780000000000001</v>
      </c>
      <c r="O109" s="207" t="s">
        <v>51</v>
      </c>
      <c r="P109" s="142">
        <f>N109*G109</f>
        <v>502593.00000000006</v>
      </c>
      <c r="Q109" s="141">
        <f t="shared" si="48"/>
        <v>0</v>
      </c>
      <c r="R109" s="142">
        <f t="shared" si="49"/>
        <v>5025.93</v>
      </c>
      <c r="S109" s="142">
        <f t="shared" si="50"/>
        <v>65337.090000000004</v>
      </c>
      <c r="T109" s="194">
        <v>0</v>
      </c>
      <c r="U109" s="145"/>
      <c r="V109" s="206"/>
      <c r="W109" s="206"/>
    </row>
    <row r="110" spans="4:30" x14ac:dyDescent="0.25">
      <c r="D110" s="143" t="str">
        <f t="shared" ref="D110:E112" si="55">D58</f>
        <v>Surge Tank</v>
      </c>
      <c r="E110" s="162" t="str">
        <f t="shared" si="55"/>
        <v>Reclaim Pond</v>
      </c>
      <c r="F110" s="140" t="s">
        <v>29</v>
      </c>
      <c r="G110" s="139">
        <v>3923</v>
      </c>
      <c r="H110" s="140">
        <v>15</v>
      </c>
      <c r="I110" s="140">
        <f>20+4</f>
        <v>24</v>
      </c>
      <c r="J110" s="140">
        <f>I110+'1 Reclamation and O&amp;M costs'!$O$22-'1 Reclamation and O&amp;M costs'!$O$21</f>
        <v>30</v>
      </c>
      <c r="K110" s="140">
        <f>I58</f>
        <v>9</v>
      </c>
      <c r="L110" s="140" t="str">
        <f t="shared" si="46"/>
        <v>-</v>
      </c>
      <c r="M110" s="140">
        <f t="shared" si="52"/>
        <v>0</v>
      </c>
      <c r="N110" s="145">
        <f>'Unit Cost Table'!$D$29</f>
        <v>31.79</v>
      </c>
      <c r="O110" s="145">
        <f>'Unit Cost Table'!$D$15</f>
        <v>3.75</v>
      </c>
      <c r="P110" s="142">
        <f>N110*G110</f>
        <v>124712.17</v>
      </c>
      <c r="Q110" s="141">
        <f t="shared" si="48"/>
        <v>0</v>
      </c>
      <c r="R110" s="142">
        <f t="shared" si="49"/>
        <v>1247.1216999999999</v>
      </c>
      <c r="S110" s="142">
        <f t="shared" si="50"/>
        <v>12471.216999999999</v>
      </c>
      <c r="T110" s="166">
        <f t="shared" si="53"/>
        <v>14711.25</v>
      </c>
      <c r="U110" s="145"/>
      <c r="V110" s="206"/>
      <c r="W110" s="206"/>
    </row>
    <row r="111" spans="4:30" x14ac:dyDescent="0.25">
      <c r="D111" s="143" t="str">
        <f t="shared" si="55"/>
        <v>Reclaim Pond</v>
      </c>
      <c r="E111" s="162" t="str">
        <f t="shared" si="55"/>
        <v>Surge Tank</v>
      </c>
      <c r="F111" s="140" t="s">
        <v>29</v>
      </c>
      <c r="G111" s="139">
        <v>3855</v>
      </c>
      <c r="H111" s="140">
        <v>9</v>
      </c>
      <c r="I111" s="140">
        <f>20+4</f>
        <v>24</v>
      </c>
      <c r="J111" s="140">
        <f>I111+'1 Reclamation and O&amp;M costs'!$O$22-'1 Reclamation and O&amp;M costs'!$O$21</f>
        <v>30</v>
      </c>
      <c r="K111" s="140">
        <f>I59</f>
        <v>5</v>
      </c>
      <c r="L111" s="140" t="str">
        <f t="shared" si="46"/>
        <v>-</v>
      </c>
      <c r="M111" s="140">
        <f t="shared" si="52"/>
        <v>0</v>
      </c>
      <c r="N111" s="145">
        <f>'Unit Cost Table'!$D$26</f>
        <v>15.780000000000001</v>
      </c>
      <c r="O111" s="145">
        <f>'Unit Cost Table'!$D$15</f>
        <v>3.75</v>
      </c>
      <c r="P111" s="142">
        <f>N111*G111</f>
        <v>60831.9</v>
      </c>
      <c r="Q111" s="141">
        <f t="shared" si="48"/>
        <v>0</v>
      </c>
      <c r="R111" s="142">
        <f t="shared" si="49"/>
        <v>608.31900000000007</v>
      </c>
      <c r="S111" s="142">
        <f t="shared" si="50"/>
        <v>3649.9140000000007</v>
      </c>
      <c r="T111" s="166">
        <f t="shared" si="53"/>
        <v>14456.25</v>
      </c>
      <c r="U111" s="145"/>
      <c r="V111" s="206"/>
      <c r="W111" s="206"/>
    </row>
    <row r="112" spans="4:30" x14ac:dyDescent="0.25">
      <c r="D112" s="143" t="str">
        <f t="shared" si="55"/>
        <v>East WRF Containment</v>
      </c>
      <c r="E112" s="162" t="str">
        <f t="shared" si="55"/>
        <v>Decant Pond #4</v>
      </c>
      <c r="F112" s="140" t="s">
        <v>29</v>
      </c>
      <c r="G112" s="139">
        <v>4073</v>
      </c>
      <c r="H112" s="140">
        <v>10</v>
      </c>
      <c r="I112" s="140">
        <f>K37+4</f>
        <v>3</v>
      </c>
      <c r="J112" s="140">
        <f>I112+'1 Reclamation and O&amp;M costs'!$O$22-'1 Reclamation and O&amp;M costs'!$O$21</f>
        <v>9</v>
      </c>
      <c r="K112" s="140">
        <f>I60</f>
        <v>12</v>
      </c>
      <c r="L112" s="140" t="str">
        <f t="shared" si="46"/>
        <v>-</v>
      </c>
      <c r="M112" s="140">
        <f t="shared" si="52"/>
        <v>0</v>
      </c>
      <c r="N112" s="145">
        <f>'Unit Cost Table'!$D$27</f>
        <v>19.169999999999998</v>
      </c>
      <c r="O112" s="145">
        <f>'Unit Cost Table'!$D$15</f>
        <v>3.75</v>
      </c>
      <c r="P112" s="142">
        <f>N112*G112</f>
        <v>78079.409999999989</v>
      </c>
      <c r="Q112" s="141">
        <f t="shared" si="48"/>
        <v>0</v>
      </c>
      <c r="R112" s="142">
        <f t="shared" si="49"/>
        <v>780.79409999999996</v>
      </c>
      <c r="S112" s="142">
        <f t="shared" si="50"/>
        <v>10150.3233</v>
      </c>
      <c r="T112" s="166">
        <f t="shared" si="53"/>
        <v>15273.75</v>
      </c>
      <c r="U112" s="145"/>
      <c r="V112" s="206"/>
      <c r="W112" s="206"/>
    </row>
    <row r="113" spans="4:46" x14ac:dyDescent="0.25">
      <c r="D113" s="281" t="s">
        <v>155</v>
      </c>
      <c r="E113" s="162"/>
      <c r="F113" s="140"/>
      <c r="G113" s="140"/>
      <c r="H113" s="140"/>
      <c r="I113" s="140"/>
      <c r="J113" s="140"/>
      <c r="K113" s="140"/>
      <c r="L113" s="140"/>
      <c r="M113" s="140"/>
      <c r="N113" s="140"/>
      <c r="O113" s="140"/>
      <c r="P113" s="140"/>
      <c r="Q113" s="170"/>
      <c r="R113" s="142"/>
      <c r="S113" s="142"/>
      <c r="T113" s="169"/>
      <c r="U113" s="140"/>
      <c r="V113" s="92"/>
      <c r="W113" s="92"/>
    </row>
    <row r="114" spans="4:46" x14ac:dyDescent="0.25">
      <c r="D114" s="143" t="str">
        <f>D62</f>
        <v>Mill No 1</v>
      </c>
      <c r="E114" s="162" t="str">
        <f>E62</f>
        <v>Tailings Impoundment Top</v>
      </c>
      <c r="F114" s="140" t="s">
        <v>29</v>
      </c>
      <c r="G114" s="139">
        <v>6850</v>
      </c>
      <c r="H114" s="140">
        <v>21</v>
      </c>
      <c r="I114" s="140"/>
      <c r="J114" s="140"/>
      <c r="K114" s="140"/>
      <c r="L114" s="140"/>
      <c r="M114" s="140"/>
      <c r="N114" s="140"/>
      <c r="O114" s="140"/>
      <c r="P114" s="140"/>
      <c r="Q114" s="170"/>
      <c r="R114" s="142"/>
      <c r="S114" s="142"/>
      <c r="T114" s="169"/>
      <c r="U114" s="140"/>
      <c r="V114" s="92"/>
      <c r="W114" s="92"/>
      <c r="X114" s="208"/>
      <c r="AJ114" s="177"/>
      <c r="AK114" s="178"/>
      <c r="AL114" s="177"/>
      <c r="AM114" s="178"/>
      <c r="AO114" s="178"/>
      <c r="AP114" s="178"/>
      <c r="AQ114" s="178"/>
      <c r="AR114" s="179"/>
      <c r="AS114" s="178"/>
      <c r="AT114" s="178"/>
    </row>
    <row r="115" spans="4:46" ht="13.8" thickBot="1" x14ac:dyDescent="0.3">
      <c r="D115" s="148" t="str">
        <f>D63</f>
        <v>Mill No 2</v>
      </c>
      <c r="E115" s="171" t="str">
        <f>E63</f>
        <v>Tailings Impoundment Top</v>
      </c>
      <c r="F115" s="152" t="s">
        <v>29</v>
      </c>
      <c r="G115" s="150">
        <v>6850</v>
      </c>
      <c r="H115" s="152">
        <v>21</v>
      </c>
      <c r="I115" s="152"/>
      <c r="J115" s="152"/>
      <c r="K115" s="152"/>
      <c r="L115" s="150"/>
      <c r="M115" s="152"/>
      <c r="N115" s="152"/>
      <c r="O115" s="152"/>
      <c r="P115" s="152"/>
      <c r="Q115" s="284"/>
      <c r="R115" s="154"/>
      <c r="S115" s="154"/>
      <c r="T115" s="174"/>
      <c r="U115" s="140"/>
      <c r="V115" s="92"/>
      <c r="W115" s="92"/>
      <c r="X115" s="208"/>
      <c r="AB115" s="177"/>
      <c r="AD115" s="177"/>
      <c r="AE115" s="178"/>
    </row>
    <row r="116" spans="4:46" x14ac:dyDescent="0.25">
      <c r="D116" s="122" t="s">
        <v>189</v>
      </c>
      <c r="P116" s="156" t="s">
        <v>284</v>
      </c>
      <c r="Q116" s="198" t="s">
        <v>51</v>
      </c>
      <c r="R116" s="196">
        <f>SUM(R95:R112)</f>
        <v>12561.3318</v>
      </c>
      <c r="S116" s="197" t="s">
        <v>51</v>
      </c>
      <c r="T116" s="209" t="s">
        <v>51</v>
      </c>
      <c r="U116" s="157"/>
      <c r="V116" s="92"/>
      <c r="W116" s="92"/>
    </row>
    <row r="117" spans="4:46" ht="13.8" thickBot="1" x14ac:dyDescent="0.3">
      <c r="F117" s="208"/>
      <c r="G117" s="176"/>
      <c r="H117" s="208"/>
      <c r="L117" s="176"/>
      <c r="P117" s="156" t="s">
        <v>126</v>
      </c>
      <c r="Q117" s="153">
        <f>SUM(Q95:Q112)</f>
        <v>0</v>
      </c>
      <c r="R117" s="201" t="s">
        <v>51</v>
      </c>
      <c r="S117" s="154">
        <f>SUM(S95:S112)</f>
        <v>142142.82889999999</v>
      </c>
      <c r="T117" s="191">
        <f>SUM(T95:T112)</f>
        <v>157440</v>
      </c>
      <c r="U117" s="160"/>
      <c r="V117" s="210"/>
      <c r="W117" s="210"/>
      <c r="AB117" s="177"/>
      <c r="AD117" s="177"/>
      <c r="AE117" s="178"/>
    </row>
    <row r="119" spans="4:46" x14ac:dyDescent="0.25">
      <c r="P119" s="179"/>
      <c r="Q119" s="179"/>
      <c r="R119" s="178"/>
      <c r="S119" s="178"/>
      <c r="T119" s="178"/>
      <c r="U119" s="178"/>
      <c r="V119" s="178"/>
      <c r="W119" s="178"/>
      <c r="X119" s="178"/>
    </row>
    <row r="120" spans="4:46" ht="13.8" thickBot="1" x14ac:dyDescent="0.3">
      <c r="D120" s="132" t="s">
        <v>47</v>
      </c>
      <c r="U120" s="285"/>
    </row>
    <row r="121" spans="4:46" s="202" customFormat="1" ht="39.6" x14ac:dyDescent="0.3">
      <c r="D121" s="180" t="s">
        <v>28</v>
      </c>
      <c r="E121" s="134" t="s">
        <v>27</v>
      </c>
      <c r="F121" s="134" t="s">
        <v>161</v>
      </c>
      <c r="G121" s="134" t="s">
        <v>39</v>
      </c>
      <c r="H121" s="134" t="s">
        <v>37</v>
      </c>
      <c r="I121" s="134" t="s">
        <v>251</v>
      </c>
      <c r="J121" s="134" t="s">
        <v>164</v>
      </c>
      <c r="K121" s="134" t="s">
        <v>85</v>
      </c>
      <c r="L121" s="134" t="s">
        <v>250</v>
      </c>
      <c r="M121" s="134" t="s">
        <v>249</v>
      </c>
      <c r="N121" s="135" t="s">
        <v>165</v>
      </c>
      <c r="O121" s="272" t="s">
        <v>163</v>
      </c>
      <c r="P121" s="272" t="s">
        <v>288</v>
      </c>
      <c r="Q121" s="181" t="s">
        <v>289</v>
      </c>
      <c r="R121" s="136"/>
    </row>
    <row r="122" spans="4:46" x14ac:dyDescent="0.25">
      <c r="D122" s="143" t="s">
        <v>7</v>
      </c>
      <c r="E122" s="162" t="s">
        <v>8</v>
      </c>
      <c r="F122" s="139">
        <f>G95-G96</f>
        <v>1166</v>
      </c>
      <c r="G122" s="139">
        <f t="shared" ref="G122:G132" si="56">ROUNDUP(F122/$O$14,0)+1</f>
        <v>13</v>
      </c>
      <c r="H122" s="139">
        <f>K95</f>
        <v>12</v>
      </c>
      <c r="I122" s="142">
        <f>SUM('Unit Cost Table'!$D$7:$D$10)*G122</f>
        <v>26629.008939393938</v>
      </c>
      <c r="J122" s="142">
        <f>F122/5280*SUM('Unit Cost Table'!$D$11:$D$13)</f>
        <v>3331.6594999999998</v>
      </c>
      <c r="K122" s="140">
        <v>2</v>
      </c>
      <c r="L122" s="142">
        <f>'Unit Cost Table'!$D$14*K122</f>
        <v>9771.36</v>
      </c>
      <c r="M122" s="142">
        <f>'Unit Cost Table'!$D$33*K122</f>
        <v>20000</v>
      </c>
      <c r="N122" s="141">
        <f t="shared" ref="N122:N132" si="57">L122+J122+I122+M122</f>
        <v>59732.028439393936</v>
      </c>
      <c r="O122" s="211">
        <f t="shared" ref="O122:O132" si="58">N122*$O$18</f>
        <v>895.98042659090902</v>
      </c>
      <c r="P122" s="142">
        <f t="shared" ref="P122:P132" si="59">O122*(H122+1)</f>
        <v>11647.745545681817</v>
      </c>
      <c r="Q122" s="166">
        <f>G122*('Unit Cost Table'!$D$5+'Unit Cost Table'!$D$6)</f>
        <v>3351.1399999999994</v>
      </c>
      <c r="R122" s="142"/>
    </row>
    <row r="123" spans="4:46" x14ac:dyDescent="0.25">
      <c r="D123" s="143" t="s">
        <v>8</v>
      </c>
      <c r="E123" s="162" t="s">
        <v>9</v>
      </c>
      <c r="F123" s="139">
        <f>G96</f>
        <v>3300</v>
      </c>
      <c r="G123" s="139">
        <f t="shared" si="56"/>
        <v>34</v>
      </c>
      <c r="H123" s="139">
        <f>K96</f>
        <v>12</v>
      </c>
      <c r="I123" s="142">
        <f>SUM('Unit Cost Table'!$D$7:$D$10)*G123</f>
        <v>69645.100303030296</v>
      </c>
      <c r="J123" s="142">
        <f>F123/5280*SUM('Unit Cost Table'!$D$11:$D$13)</f>
        <v>9429.2250000000004</v>
      </c>
      <c r="K123" s="140">
        <v>2</v>
      </c>
      <c r="L123" s="142">
        <f>'Unit Cost Table'!$D$14*K123</f>
        <v>9771.36</v>
      </c>
      <c r="M123" s="142">
        <f>'Unit Cost Table'!$D$33*K123</f>
        <v>20000</v>
      </c>
      <c r="N123" s="141">
        <f t="shared" si="57"/>
        <v>108845.6853030303</v>
      </c>
      <c r="O123" s="211">
        <f t="shared" si="58"/>
        <v>1632.6852795454545</v>
      </c>
      <c r="P123" s="142">
        <f t="shared" si="59"/>
        <v>21224.908634090909</v>
      </c>
      <c r="Q123" s="166">
        <f>G123*('Unit Cost Table'!$D$5+'Unit Cost Table'!$D$6)</f>
        <v>8764.5199999999986</v>
      </c>
      <c r="R123" s="142"/>
    </row>
    <row r="124" spans="4:46" x14ac:dyDescent="0.25">
      <c r="D124" s="143" t="s">
        <v>9</v>
      </c>
      <c r="E124" s="162" t="s">
        <v>84</v>
      </c>
      <c r="F124" s="139">
        <f>G97</f>
        <v>220</v>
      </c>
      <c r="G124" s="139">
        <f t="shared" si="56"/>
        <v>4</v>
      </c>
      <c r="H124" s="139">
        <f>K97</f>
        <v>12</v>
      </c>
      <c r="I124" s="142">
        <f>SUM('Unit Cost Table'!$D$7:$D$10)*G124</f>
        <v>8193.5412121212121</v>
      </c>
      <c r="J124" s="142">
        <f>F124/5280*SUM('Unit Cost Table'!$D$11:$D$13)</f>
        <v>628.61500000000001</v>
      </c>
      <c r="K124" s="140">
        <v>2</v>
      </c>
      <c r="L124" s="142">
        <f>'Unit Cost Table'!$D$14*K124</f>
        <v>9771.36</v>
      </c>
      <c r="M124" s="142">
        <f>'Unit Cost Table'!$D$33*K124</f>
        <v>20000</v>
      </c>
      <c r="N124" s="141">
        <f t="shared" si="57"/>
        <v>38593.516212121212</v>
      </c>
      <c r="O124" s="211">
        <f t="shared" si="58"/>
        <v>578.90274318181821</v>
      </c>
      <c r="P124" s="142">
        <f t="shared" si="59"/>
        <v>7525.7356613636366</v>
      </c>
      <c r="Q124" s="166">
        <f>G124*('Unit Cost Table'!$D$5+'Unit Cost Table'!$D$6)</f>
        <v>1031.1199999999999</v>
      </c>
      <c r="R124" s="142"/>
    </row>
    <row r="125" spans="4:46" x14ac:dyDescent="0.25">
      <c r="D125" s="143" t="s">
        <v>92</v>
      </c>
      <c r="E125" s="162" t="s">
        <v>16</v>
      </c>
      <c r="F125" s="139">
        <f>G98+G99</f>
        <v>2036</v>
      </c>
      <c r="G125" s="139">
        <f t="shared" si="56"/>
        <v>22</v>
      </c>
      <c r="H125" s="139">
        <f>K98</f>
        <v>12</v>
      </c>
      <c r="I125" s="142">
        <f>SUM('Unit Cost Table'!$D$7:$D$10)*G125</f>
        <v>45064.476666666669</v>
      </c>
      <c r="J125" s="142">
        <f>F125/5280*SUM('Unit Cost Table'!$D$11:$D$13)</f>
        <v>5817.5460909090916</v>
      </c>
      <c r="K125" s="140">
        <v>2</v>
      </c>
      <c r="L125" s="142">
        <f>'Unit Cost Table'!$D$14*K125</f>
        <v>9771.36</v>
      </c>
      <c r="M125" s="142">
        <f>'Unit Cost Table'!$D$33*K125</f>
        <v>20000</v>
      </c>
      <c r="N125" s="141">
        <f t="shared" si="57"/>
        <v>80653.38275757576</v>
      </c>
      <c r="O125" s="211">
        <f t="shared" si="58"/>
        <v>1209.8007413636365</v>
      </c>
      <c r="P125" s="142">
        <f t="shared" si="59"/>
        <v>15727.409637727274</v>
      </c>
      <c r="Q125" s="166">
        <f>G125*('Unit Cost Table'!$D$5+'Unit Cost Table'!$D$6)</f>
        <v>5671.16</v>
      </c>
      <c r="R125" s="142"/>
    </row>
    <row r="126" spans="4:46" ht="39.6" x14ac:dyDescent="0.25">
      <c r="D126" s="212" t="s">
        <v>124</v>
      </c>
      <c r="E126" s="213" t="s">
        <v>38</v>
      </c>
      <c r="F126" s="139">
        <v>582</v>
      </c>
      <c r="G126" s="139">
        <f t="shared" si="56"/>
        <v>7</v>
      </c>
      <c r="H126" s="139">
        <f>K105</f>
        <v>12</v>
      </c>
      <c r="I126" s="142">
        <f>SUM('Unit Cost Table'!$D$7:$D$10)*G126</f>
        <v>14338.697121212121</v>
      </c>
      <c r="J126" s="142">
        <f>F126/5280*SUM('Unit Cost Table'!$D$11:$D$13)</f>
        <v>1662.9724090909092</v>
      </c>
      <c r="K126" s="140">
        <v>1</v>
      </c>
      <c r="L126" s="142">
        <f>'Unit Cost Table'!$D$14*K126</f>
        <v>4885.68</v>
      </c>
      <c r="M126" s="142">
        <f>'Unit Cost Table'!$D$33*K126</f>
        <v>10000</v>
      </c>
      <c r="N126" s="141">
        <f t="shared" si="57"/>
        <v>30887.349530303029</v>
      </c>
      <c r="O126" s="211">
        <f t="shared" si="58"/>
        <v>463.3102429545454</v>
      </c>
      <c r="P126" s="142">
        <f t="shared" si="59"/>
        <v>6023.03315840909</v>
      </c>
      <c r="Q126" s="166">
        <f>G126*('Unit Cost Table'!$D$5+'Unit Cost Table'!$D$6)</f>
        <v>1804.4599999999998</v>
      </c>
      <c r="R126" s="142"/>
    </row>
    <row r="127" spans="4:46" x14ac:dyDescent="0.25">
      <c r="D127" s="143" t="s">
        <v>16</v>
      </c>
      <c r="E127" s="162" t="s">
        <v>12</v>
      </c>
      <c r="F127" s="139">
        <f>G105</f>
        <v>1770</v>
      </c>
      <c r="G127" s="139">
        <f t="shared" si="56"/>
        <v>19</v>
      </c>
      <c r="H127" s="139">
        <f>K105</f>
        <v>12</v>
      </c>
      <c r="I127" s="142">
        <f>SUM('Unit Cost Table'!$D$7:$D$10)*G127</f>
        <v>38919.320757575755</v>
      </c>
      <c r="J127" s="142">
        <f>F127/5280*SUM('Unit Cost Table'!$D$11:$D$13)</f>
        <v>5057.4934090909092</v>
      </c>
      <c r="K127" s="140">
        <v>1</v>
      </c>
      <c r="L127" s="142">
        <f>'Unit Cost Table'!$D$14*K127</f>
        <v>4885.68</v>
      </c>
      <c r="M127" s="142">
        <f>'Unit Cost Table'!$D$33*K127</f>
        <v>10000</v>
      </c>
      <c r="N127" s="141">
        <f t="shared" si="57"/>
        <v>58862.494166666664</v>
      </c>
      <c r="O127" s="211">
        <f t="shared" si="58"/>
        <v>882.93741249999994</v>
      </c>
      <c r="P127" s="142">
        <f t="shared" si="59"/>
        <v>11478.186362499999</v>
      </c>
      <c r="Q127" s="166">
        <f>G127*('Unit Cost Table'!$D$5+'Unit Cost Table'!$D$6)</f>
        <v>4897.82</v>
      </c>
      <c r="R127" s="142"/>
    </row>
    <row r="128" spans="4:46" x14ac:dyDescent="0.25">
      <c r="D128" s="143" t="s">
        <v>17</v>
      </c>
      <c r="E128" s="162" t="s">
        <v>92</v>
      </c>
      <c r="F128" s="139">
        <f>G102</f>
        <v>1188</v>
      </c>
      <c r="G128" s="139">
        <f t="shared" si="56"/>
        <v>13</v>
      </c>
      <c r="H128" s="139">
        <f>K101</f>
        <v>5</v>
      </c>
      <c r="I128" s="142">
        <f>SUM('Unit Cost Table'!$D$7:$D$10)*G128</f>
        <v>26629.008939393938</v>
      </c>
      <c r="J128" s="142">
        <f>F128/5280*SUM('Unit Cost Table'!$D$11:$D$13)</f>
        <v>3394.5210000000002</v>
      </c>
      <c r="K128" s="140">
        <v>1</v>
      </c>
      <c r="L128" s="142">
        <f>'Unit Cost Table'!$D$14*K128</f>
        <v>4885.68</v>
      </c>
      <c r="M128" s="142">
        <f>'Unit Cost Table'!$D$33*K128</f>
        <v>10000</v>
      </c>
      <c r="N128" s="141">
        <f t="shared" si="57"/>
        <v>44909.209939393942</v>
      </c>
      <c r="O128" s="211">
        <f t="shared" si="58"/>
        <v>673.63814909090911</v>
      </c>
      <c r="P128" s="142">
        <f t="shared" si="59"/>
        <v>4041.8288945454547</v>
      </c>
      <c r="Q128" s="166">
        <f>G128*('Unit Cost Table'!$D$5+'Unit Cost Table'!$D$6)</f>
        <v>3351.1399999999994</v>
      </c>
      <c r="R128" s="142"/>
    </row>
    <row r="129" spans="4:19" x14ac:dyDescent="0.25">
      <c r="D129" s="143" t="s">
        <v>122</v>
      </c>
      <c r="E129" s="162" t="s">
        <v>84</v>
      </c>
      <c r="F129" s="139">
        <v>500</v>
      </c>
      <c r="G129" s="139">
        <f t="shared" si="56"/>
        <v>6</v>
      </c>
      <c r="H129" s="139">
        <f>K103</f>
        <v>5</v>
      </c>
      <c r="I129" s="142">
        <f>SUM('Unit Cost Table'!$D$7:$D$10)*G129</f>
        <v>12290.311818181817</v>
      </c>
      <c r="J129" s="142">
        <f>F129/5280*SUM('Unit Cost Table'!$D$11:$D$13)</f>
        <v>1428.6704545454545</v>
      </c>
      <c r="K129" s="140">
        <v>1</v>
      </c>
      <c r="L129" s="142">
        <f>'Unit Cost Table'!$D$14*K129</f>
        <v>4885.68</v>
      </c>
      <c r="M129" s="142">
        <f>'Unit Cost Table'!$D$33*K129</f>
        <v>10000</v>
      </c>
      <c r="N129" s="141">
        <f t="shared" si="57"/>
        <v>28604.66227272727</v>
      </c>
      <c r="O129" s="211">
        <f t="shared" si="58"/>
        <v>429.06993409090904</v>
      </c>
      <c r="P129" s="142">
        <f t="shared" si="59"/>
        <v>2574.4196045454541</v>
      </c>
      <c r="Q129" s="166">
        <f>G129*('Unit Cost Table'!$D$5+'Unit Cost Table'!$D$6)</f>
        <v>1546.6799999999998</v>
      </c>
      <c r="R129" s="142"/>
    </row>
    <row r="130" spans="4:19" x14ac:dyDescent="0.25">
      <c r="D130" s="143" t="s">
        <v>11</v>
      </c>
      <c r="E130" s="213" t="s">
        <v>84</v>
      </c>
      <c r="F130" s="139">
        <v>727</v>
      </c>
      <c r="G130" s="139">
        <f t="shared" si="56"/>
        <v>9</v>
      </c>
      <c r="H130" s="139">
        <f>K104</f>
        <v>5</v>
      </c>
      <c r="I130" s="142">
        <f>SUM('Unit Cost Table'!$D$7:$D$10)*G130</f>
        <v>18435.467727272728</v>
      </c>
      <c r="J130" s="142">
        <f>F130/5280*SUM('Unit Cost Table'!$D$11:$D$13)</f>
        <v>2077.2868409090911</v>
      </c>
      <c r="K130" s="140">
        <v>1</v>
      </c>
      <c r="L130" s="142">
        <f>'Unit Cost Table'!$D$14*K130</f>
        <v>4885.68</v>
      </c>
      <c r="M130" s="142">
        <f>'Unit Cost Table'!$D$33*K130</f>
        <v>10000</v>
      </c>
      <c r="N130" s="141">
        <f t="shared" si="57"/>
        <v>35398.434568181823</v>
      </c>
      <c r="O130" s="211">
        <f t="shared" si="58"/>
        <v>530.97651852272736</v>
      </c>
      <c r="P130" s="142">
        <f t="shared" si="59"/>
        <v>3185.8591111363639</v>
      </c>
      <c r="Q130" s="166">
        <f>G130*('Unit Cost Table'!$D$5+'Unit Cost Table'!$D$6)</f>
        <v>2320.0199999999995</v>
      </c>
      <c r="R130" s="142"/>
    </row>
    <row r="131" spans="4:19" x14ac:dyDescent="0.25">
      <c r="D131" s="143" t="s">
        <v>184</v>
      </c>
      <c r="E131" s="162" t="s">
        <v>92</v>
      </c>
      <c r="F131" s="139">
        <v>4582</v>
      </c>
      <c r="G131" s="139">
        <f t="shared" si="56"/>
        <v>47</v>
      </c>
      <c r="H131" s="139">
        <f>K112</f>
        <v>12</v>
      </c>
      <c r="I131" s="142">
        <f>SUM('Unit Cost Table'!$D$7:$D$10)*G131</f>
        <v>96274.109242424238</v>
      </c>
      <c r="J131" s="142">
        <f>F131/5280*SUM('Unit Cost Table'!$D$11:$D$13)</f>
        <v>13092.336045454545</v>
      </c>
      <c r="K131" s="140">
        <v>1</v>
      </c>
      <c r="L131" s="142">
        <f>'Unit Cost Table'!$D$14*K131</f>
        <v>4885.68</v>
      </c>
      <c r="M131" s="142">
        <f>'Unit Cost Table'!$D$33*K131</f>
        <v>10000</v>
      </c>
      <c r="N131" s="141">
        <f t="shared" si="57"/>
        <v>124252.12528787879</v>
      </c>
      <c r="O131" s="211">
        <f t="shared" si="58"/>
        <v>1863.7818793181818</v>
      </c>
      <c r="P131" s="142">
        <f t="shared" si="59"/>
        <v>24229.164431136363</v>
      </c>
      <c r="Q131" s="166">
        <f>G131*('Unit Cost Table'!$D$5+'Unit Cost Table'!$D$6)</f>
        <v>12115.659999999998</v>
      </c>
      <c r="R131" s="142"/>
    </row>
    <row r="132" spans="4:19" s="202" customFormat="1" ht="15.75" customHeight="1" thickBot="1" x14ac:dyDescent="0.35">
      <c r="D132" s="286" t="s">
        <v>38</v>
      </c>
      <c r="E132" s="287" t="s">
        <v>84</v>
      </c>
      <c r="F132" s="214">
        <v>2327</v>
      </c>
      <c r="G132" s="150">
        <f t="shared" si="56"/>
        <v>25</v>
      </c>
      <c r="H132" s="150">
        <f>K98</f>
        <v>12</v>
      </c>
      <c r="I132" s="154">
        <f>SUM('Unit Cost Table'!$D$7:$D$10)*G132</f>
        <v>51209.632575757576</v>
      </c>
      <c r="J132" s="154">
        <f>F132/5280*SUM('Unit Cost Table'!$D$11:$D$13)</f>
        <v>6649.0322954545454</v>
      </c>
      <c r="K132" s="152">
        <v>1</v>
      </c>
      <c r="L132" s="154">
        <f>'Unit Cost Table'!$D$14*K132</f>
        <v>4885.68</v>
      </c>
      <c r="M132" s="154">
        <f>'Unit Cost Table'!$D$33*K132</f>
        <v>10000</v>
      </c>
      <c r="N132" s="153">
        <f t="shared" si="57"/>
        <v>72744.344871212117</v>
      </c>
      <c r="O132" s="215">
        <f t="shared" si="58"/>
        <v>1091.1651730681817</v>
      </c>
      <c r="P132" s="154">
        <f t="shared" si="59"/>
        <v>14185.147249886362</v>
      </c>
      <c r="Q132" s="191">
        <f>G132*('Unit Cost Table'!$D$5+'Unit Cost Table'!$D$6)</f>
        <v>6444.4999999999991</v>
      </c>
      <c r="R132" s="142"/>
    </row>
    <row r="133" spans="4:19" x14ac:dyDescent="0.25">
      <c r="F133" s="176"/>
      <c r="G133" s="131"/>
      <c r="J133" s="216"/>
      <c r="K133" s="216"/>
      <c r="L133" s="216"/>
      <c r="M133" s="156" t="s">
        <v>284</v>
      </c>
      <c r="N133" s="274" t="s">
        <v>51</v>
      </c>
      <c r="O133" s="196">
        <f>SUM(O122:O132)</f>
        <v>10252.248500227272</v>
      </c>
      <c r="P133" s="197" t="s">
        <v>51</v>
      </c>
      <c r="Q133" s="217" t="s">
        <v>51</v>
      </c>
      <c r="R133" s="158"/>
    </row>
    <row r="134" spans="4:19" ht="13.8" thickBot="1" x14ac:dyDescent="0.3">
      <c r="M134" s="156" t="s">
        <v>126</v>
      </c>
      <c r="N134" s="275" t="s">
        <v>51</v>
      </c>
      <c r="O134" s="159" t="s">
        <v>51</v>
      </c>
      <c r="P134" s="154">
        <f>SUM(P122:P132)</f>
        <v>121843.43829102273</v>
      </c>
      <c r="Q134" s="191">
        <f>SUM(Q122:Q132)</f>
        <v>51298.219999999994</v>
      </c>
      <c r="R134" s="160"/>
      <c r="S134" s="216"/>
    </row>
  </sheetData>
  <mergeCells count="22">
    <mergeCell ref="K68:O68"/>
    <mergeCell ref="F68:J68"/>
    <mergeCell ref="F24:N24"/>
    <mergeCell ref="F5:N5"/>
    <mergeCell ref="F19:N19"/>
    <mergeCell ref="F20:N20"/>
    <mergeCell ref="F21:N21"/>
    <mergeCell ref="F22:N22"/>
    <mergeCell ref="F23:N23"/>
    <mergeCell ref="F6:N6"/>
    <mergeCell ref="F7:N7"/>
    <mergeCell ref="F8:N8"/>
    <mergeCell ref="F9:N9"/>
    <mergeCell ref="F10:N10"/>
    <mergeCell ref="F11:N11"/>
    <mergeCell ref="F17:N17"/>
    <mergeCell ref="F18:N18"/>
    <mergeCell ref="F12:N12"/>
    <mergeCell ref="F13:N13"/>
    <mergeCell ref="F14:N14"/>
    <mergeCell ref="F15:N15"/>
    <mergeCell ref="F16:N16"/>
  </mergeCells>
  <phoneticPr fontId="8" type="noConversion"/>
  <pageMargins left="0.7" right="0.7" top="0.75" bottom="0.75" header="0.3" footer="0.3"/>
  <pageSetup paperSize="3" scale="60" pageOrder="overThenDown" orientation="landscape" r:id="rId1"/>
  <headerFooter alignWithMargins="0">
    <oddFooter>&amp;C&amp;F
&amp;   Reclamation and O&amp;&amp;M Costs Sheet 1
&amp;
Page &amp;P of &amp;N</oddFooter>
  </headerFooter>
  <rowBreaks count="2" manualBreakCount="2">
    <brk id="40" min="3" max="20" man="1"/>
    <brk id="91" min="3" max="20" man="1"/>
  </rowBreaks>
  <colBreaks count="1" manualBreakCount="1">
    <brk id="21" max="134" man="1"/>
  </colBreaks>
  <drawing r:id="rId2"/>
  <legacyDrawing r:id="rId3"/>
  <oleObjects>
    <mc:AlternateContent xmlns:mc="http://schemas.openxmlformats.org/markup-compatibility/2006">
      <mc:Choice Requires="x14">
        <oleObject progId="Equation.3" shapeId="1029" r:id="rId4">
          <objectPr defaultSize="0" autoPict="0" r:id="rId5">
            <anchor moveWithCells="1">
              <from>
                <xdr:col>12</xdr:col>
                <xdr:colOff>1112520</xdr:colOff>
                <xdr:row>40</xdr:row>
                <xdr:rowOff>38100</xdr:rowOff>
              </from>
              <to>
                <xdr:col>13</xdr:col>
                <xdr:colOff>1066800</xdr:colOff>
                <xdr:row>42</xdr:row>
                <xdr:rowOff>106680</xdr:rowOff>
              </to>
            </anchor>
          </objectPr>
        </oleObject>
      </mc:Choice>
      <mc:Fallback>
        <oleObject progId="Equation.3" shapeId="1029" r:id="rId4"/>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44"/>
  <sheetViews>
    <sheetView workbookViewId="0">
      <selection activeCell="F2" sqref="F2"/>
    </sheetView>
  </sheetViews>
  <sheetFormatPr defaultColWidth="8" defaultRowHeight="13.2" x14ac:dyDescent="0.25"/>
  <cols>
    <col min="1" max="1" width="2.19921875" style="4" customWidth="1"/>
    <col min="2" max="2" width="25.5" style="4" customWidth="1"/>
    <col min="3" max="3" width="9.09765625" style="4" customWidth="1"/>
    <col min="4" max="4" width="10.296875" style="4" customWidth="1"/>
    <col min="5" max="5" width="9.59765625" style="4" customWidth="1"/>
    <col min="6" max="6" width="10.3984375" style="4" bestFit="1" customWidth="1"/>
    <col min="7" max="7" width="12.59765625" style="4" customWidth="1"/>
    <col min="8" max="8" width="11.69921875" style="4" customWidth="1"/>
    <col min="9" max="10" width="7.09765625" style="4" bestFit="1" customWidth="1"/>
    <col min="11" max="11" width="8" style="4" bestFit="1" customWidth="1"/>
    <col min="12" max="12" width="9.3984375" style="4" customWidth="1"/>
    <col min="13" max="13" width="9" style="4" customWidth="1"/>
    <col min="14" max="14" width="9.5" style="4" customWidth="1"/>
    <col min="15" max="15" width="12" style="4" customWidth="1"/>
    <col min="16" max="16" width="5.5" style="4" customWidth="1"/>
    <col min="17" max="16384" width="8" style="4"/>
  </cols>
  <sheetData>
    <row r="1" spans="1:16" x14ac:dyDescent="0.25">
      <c r="B1" s="33"/>
      <c r="C1" s="33"/>
      <c r="D1" s="33"/>
      <c r="E1" s="33"/>
      <c r="F1" s="33"/>
      <c r="G1" s="33"/>
      <c r="H1" s="33"/>
      <c r="I1" s="33"/>
      <c r="J1" s="33"/>
      <c r="K1" s="33"/>
      <c r="L1" s="33"/>
      <c r="M1" s="33"/>
      <c r="N1" s="33"/>
      <c r="O1" s="75" t="str">
        <f>'3 WM cash flow'!F2</f>
        <v>Continental Mine</v>
      </c>
    </row>
    <row r="2" spans="1:16" x14ac:dyDescent="0.25">
      <c r="B2" s="76"/>
      <c r="C2" s="65"/>
      <c r="D2" s="66"/>
      <c r="E2" s="66"/>
      <c r="F2" s="66"/>
      <c r="G2" s="66"/>
      <c r="H2" s="66"/>
      <c r="I2" s="66"/>
      <c r="J2" s="66"/>
      <c r="K2" s="66"/>
      <c r="L2" s="66"/>
      <c r="M2" s="66"/>
      <c r="N2" s="33"/>
      <c r="O2" s="92" t="s">
        <v>178</v>
      </c>
    </row>
    <row r="3" spans="1:16" ht="16.2" thickBot="1" x14ac:dyDescent="0.3">
      <c r="B3" s="67" t="s">
        <v>255</v>
      </c>
      <c r="C3" s="57"/>
      <c r="D3" s="34"/>
      <c r="E3" s="34"/>
      <c r="F3" s="34"/>
      <c r="G3" s="34"/>
      <c r="H3" s="34"/>
      <c r="I3" s="34"/>
      <c r="J3" s="34"/>
      <c r="K3" s="34"/>
      <c r="L3" s="34"/>
      <c r="M3" s="34"/>
      <c r="N3" s="33"/>
      <c r="O3" s="257">
        <f>'3 WM cash flow'!F4</f>
        <v>43553</v>
      </c>
    </row>
    <row r="4" spans="1:16" ht="18.75" customHeight="1" thickBot="1" x14ac:dyDescent="0.3">
      <c r="B4" s="414" t="s">
        <v>2</v>
      </c>
      <c r="C4" s="415"/>
      <c r="D4" s="415"/>
      <c r="E4" s="415"/>
      <c r="F4" s="416"/>
      <c r="G4" s="414" t="s">
        <v>3</v>
      </c>
      <c r="H4" s="415"/>
      <c r="I4" s="415"/>
      <c r="J4" s="415"/>
      <c r="K4" s="415"/>
      <c r="L4" s="416"/>
      <c r="M4" s="35"/>
      <c r="N4" s="33"/>
      <c r="O4" s="33"/>
    </row>
    <row r="5" spans="1:16" ht="66" customHeight="1" x14ac:dyDescent="0.25">
      <c r="B5" s="69" t="s">
        <v>141</v>
      </c>
      <c r="C5" s="70" t="s">
        <v>110</v>
      </c>
      <c r="D5" s="70" t="s">
        <v>105</v>
      </c>
      <c r="E5" s="70" t="s">
        <v>121</v>
      </c>
      <c r="F5" s="70" t="s">
        <v>142</v>
      </c>
      <c r="G5" s="71" t="s">
        <v>143</v>
      </c>
      <c r="H5" s="31" t="s">
        <v>109</v>
      </c>
      <c r="I5" s="31" t="s">
        <v>111</v>
      </c>
      <c r="J5" s="31" t="s">
        <v>106</v>
      </c>
      <c r="K5" s="31" t="s">
        <v>107</v>
      </c>
      <c r="L5" s="32" t="s">
        <v>108</v>
      </c>
      <c r="M5" s="72" t="s">
        <v>112</v>
      </c>
      <c r="N5" s="33"/>
      <c r="O5" s="33"/>
    </row>
    <row r="6" spans="1:16" ht="13.8" thickBot="1" x14ac:dyDescent="0.3">
      <c r="B6" s="7">
        <f>1/'2 Sampling Cost'!L13</f>
        <v>0.14285714285714285</v>
      </c>
      <c r="C6" s="22">
        <f>'Unit Cost Table'!D38</f>
        <v>400</v>
      </c>
      <c r="D6" s="22">
        <f>ROUND(B6*C6,0)</f>
        <v>57</v>
      </c>
      <c r="E6" s="22">
        <f>'Unit Cost Table'!D37</f>
        <v>280</v>
      </c>
      <c r="F6" s="8">
        <f>E6+D6</f>
        <v>337</v>
      </c>
      <c r="G6" s="26">
        <v>1</v>
      </c>
      <c r="H6" s="27">
        <v>0.5</v>
      </c>
      <c r="I6" s="28">
        <f>'Unit Cost Table'!D35</f>
        <v>60</v>
      </c>
      <c r="J6" s="29">
        <v>0.1</v>
      </c>
      <c r="K6" s="28">
        <f>'Unit Cost Table'!D36</f>
        <v>70</v>
      </c>
      <c r="L6" s="30">
        <f>ROUND(((G6+H6)*I6)+(J6*K6),-1)</f>
        <v>100</v>
      </c>
      <c r="M6" s="25">
        <f>ROUND(F6+L6,0)</f>
        <v>437</v>
      </c>
      <c r="N6" s="33"/>
      <c r="O6" s="33"/>
    </row>
    <row r="7" spans="1:16" ht="15.6" x14ac:dyDescent="0.25">
      <c r="B7" s="36" t="s">
        <v>183</v>
      </c>
      <c r="C7" s="36"/>
      <c r="D7" s="36"/>
      <c r="E7" s="58"/>
      <c r="F7" s="58"/>
      <c r="G7" s="58"/>
      <c r="H7" s="58"/>
      <c r="I7" s="58"/>
      <c r="J7" s="58"/>
      <c r="K7" s="58"/>
      <c r="L7" s="58"/>
      <c r="M7" s="58"/>
      <c r="N7" s="33"/>
      <c r="O7" s="33"/>
    </row>
    <row r="8" spans="1:16" ht="15.6" x14ac:dyDescent="0.25">
      <c r="B8" s="19"/>
      <c r="C8" s="59"/>
      <c r="D8" s="59"/>
      <c r="E8" s="60"/>
      <c r="F8" s="60"/>
      <c r="G8" s="60"/>
      <c r="H8" s="60"/>
      <c r="I8" s="60"/>
      <c r="J8" s="60"/>
      <c r="K8" s="60"/>
      <c r="L8" s="60"/>
      <c r="M8" s="60"/>
      <c r="N8" s="33"/>
      <c r="O8" s="33"/>
    </row>
    <row r="9" spans="1:16" s="1" customFormat="1" ht="13.8" thickBot="1" x14ac:dyDescent="0.3">
      <c r="B9" s="37" t="s">
        <v>254</v>
      </c>
      <c r="C9" s="38"/>
      <c r="D9" s="38"/>
      <c r="E9" s="38"/>
      <c r="F9" s="38"/>
      <c r="G9" s="38"/>
      <c r="H9" s="38"/>
      <c r="I9" s="38"/>
      <c r="J9" s="38"/>
      <c r="K9" s="38"/>
      <c r="L9" s="38"/>
      <c r="M9" s="38"/>
      <c r="N9" s="38"/>
      <c r="O9" s="38"/>
    </row>
    <row r="10" spans="1:16" s="2" customFormat="1" ht="12.75" customHeight="1" x14ac:dyDescent="0.25">
      <c r="B10" s="39"/>
      <c r="C10" s="411" t="s">
        <v>57</v>
      </c>
      <c r="D10" s="412"/>
      <c r="E10" s="413"/>
      <c r="F10" s="411" t="s">
        <v>58</v>
      </c>
      <c r="G10" s="412"/>
      <c r="H10" s="413"/>
      <c r="I10" s="411" t="s">
        <v>63</v>
      </c>
      <c r="J10" s="412"/>
      <c r="K10" s="413"/>
      <c r="L10" s="40"/>
      <c r="M10" s="23" t="s">
        <v>88</v>
      </c>
      <c r="N10" s="39"/>
      <c r="O10" s="41" t="s">
        <v>61</v>
      </c>
    </row>
    <row r="11" spans="1:16" s="2" customFormat="1" ht="12.75" customHeight="1" x14ac:dyDescent="0.25">
      <c r="B11" s="42"/>
      <c r="C11" s="43"/>
      <c r="D11" s="44" t="s">
        <v>59</v>
      </c>
      <c r="E11" s="45"/>
      <c r="F11" s="43"/>
      <c r="G11" s="44" t="s">
        <v>59</v>
      </c>
      <c r="H11" s="45"/>
      <c r="I11" s="43"/>
      <c r="J11" s="44" t="s">
        <v>59</v>
      </c>
      <c r="K11" s="45"/>
      <c r="L11" s="46" t="s">
        <v>60</v>
      </c>
      <c r="M11" s="24" t="s">
        <v>113</v>
      </c>
      <c r="N11" s="42" t="s">
        <v>0</v>
      </c>
      <c r="O11" s="47" t="s">
        <v>0</v>
      </c>
    </row>
    <row r="12" spans="1:16" s="2" customFormat="1" ht="12.75" customHeight="1" x14ac:dyDescent="0.25">
      <c r="B12" s="391" t="s">
        <v>325</v>
      </c>
      <c r="C12" s="48" t="s">
        <v>4</v>
      </c>
      <c r="D12" s="49" t="s">
        <v>5</v>
      </c>
      <c r="E12" s="50" t="s">
        <v>5</v>
      </c>
      <c r="F12" s="48" t="s">
        <v>4</v>
      </c>
      <c r="G12" s="49" t="s">
        <v>5</v>
      </c>
      <c r="H12" s="50" t="s">
        <v>5</v>
      </c>
      <c r="I12" s="48" t="s">
        <v>4</v>
      </c>
      <c r="J12" s="49" t="s">
        <v>5</v>
      </c>
      <c r="K12" s="50" t="s">
        <v>5</v>
      </c>
      <c r="L12" s="51" t="s">
        <v>62</v>
      </c>
      <c r="M12" s="62" t="s">
        <v>114</v>
      </c>
      <c r="N12" s="61" t="s">
        <v>144</v>
      </c>
      <c r="O12" s="73" t="s">
        <v>44</v>
      </c>
    </row>
    <row r="13" spans="1:16" s="2" customFormat="1" x14ac:dyDescent="0.25">
      <c r="A13" s="1" t="s">
        <v>115</v>
      </c>
      <c r="B13" s="52" t="str">
        <f>'1 Reclamation and O&amp;M costs'!O22&amp;"-"&amp;'1 Reclamation and O&amp;M costs'!O23</f>
        <v>0-5</v>
      </c>
      <c r="C13" s="43">
        <v>1</v>
      </c>
      <c r="D13" s="46"/>
      <c r="E13" s="45"/>
      <c r="F13" s="43">
        <v>4</v>
      </c>
      <c r="G13" s="46"/>
      <c r="H13" s="45"/>
      <c r="I13" s="43">
        <v>2</v>
      </c>
      <c r="J13" s="46"/>
      <c r="K13" s="45"/>
      <c r="L13" s="46">
        <f>SUM(C13:K13)</f>
        <v>7</v>
      </c>
      <c r="M13" s="6">
        <v>4</v>
      </c>
      <c r="N13" s="53">
        <f>'2 Sampling Cost'!$M$6</f>
        <v>437</v>
      </c>
      <c r="O13" s="54">
        <f>(C13+F13+I13)*$N$13*M13</f>
        <v>12236</v>
      </c>
    </row>
    <row r="14" spans="1:16" s="2" customFormat="1" x14ac:dyDescent="0.25">
      <c r="A14" s="1" t="s">
        <v>55</v>
      </c>
      <c r="B14" s="52" t="str">
        <f>'1 Reclamation and O&amp;M costs'!O23&amp;" - "&amp;'1 Reclamation and O&amp;M costs'!O24</f>
        <v>5 - 12</v>
      </c>
      <c r="C14" s="43"/>
      <c r="D14" s="46">
        <v>1</v>
      </c>
      <c r="E14" s="45"/>
      <c r="F14" s="43"/>
      <c r="G14" s="46">
        <v>4</v>
      </c>
      <c r="H14" s="45"/>
      <c r="I14" s="43"/>
      <c r="J14" s="46">
        <v>2</v>
      </c>
      <c r="K14" s="45"/>
      <c r="L14" s="46">
        <f>SUM(C14:K14)</f>
        <v>7</v>
      </c>
      <c r="M14" s="6">
        <v>2</v>
      </c>
      <c r="N14" s="53">
        <f>'2 Sampling Cost'!$M$6</f>
        <v>437</v>
      </c>
      <c r="O14" s="54">
        <f>(D14+G14+J14)*$N$14*M14</f>
        <v>6118</v>
      </c>
    </row>
    <row r="15" spans="1:16" s="2" customFormat="1" ht="13.8" thickBot="1" x14ac:dyDescent="0.3">
      <c r="A15" s="1" t="s">
        <v>56</v>
      </c>
      <c r="B15" s="52" t="str">
        <f>'1 Reclamation and O&amp;M costs'!O24&amp;"-99"</f>
        <v>12-99</v>
      </c>
      <c r="C15" s="43"/>
      <c r="D15" s="46"/>
      <c r="E15" s="45">
        <v>1</v>
      </c>
      <c r="F15" s="43"/>
      <c r="G15" s="46"/>
      <c r="H15" s="45">
        <v>4</v>
      </c>
      <c r="I15" s="43"/>
      <c r="J15" s="46"/>
      <c r="K15" s="45">
        <v>2</v>
      </c>
      <c r="L15" s="46">
        <f>SUM(C15:K15)</f>
        <v>7</v>
      </c>
      <c r="M15" s="6">
        <v>1</v>
      </c>
      <c r="N15" s="53">
        <f>'2 Sampling Cost'!$M$6</f>
        <v>437</v>
      </c>
      <c r="O15" s="54">
        <f>(E15+H15+K15)*$N$15*M15</f>
        <v>3059</v>
      </c>
    </row>
    <row r="16" spans="1:16" s="1" customFormat="1" ht="13.8" thickBot="1" x14ac:dyDescent="0.3">
      <c r="B16" s="385"/>
      <c r="C16" s="386"/>
      <c r="D16" s="386"/>
      <c r="E16" s="387"/>
      <c r="F16" s="386"/>
      <c r="G16" s="387"/>
      <c r="H16" s="56"/>
      <c r="I16" s="55"/>
      <c r="J16" s="55"/>
      <c r="K16" s="56"/>
      <c r="L16" s="56"/>
      <c r="M16" s="56"/>
      <c r="N16" s="63" t="s">
        <v>145</v>
      </c>
      <c r="O16" s="64">
        <f>O13*('1 Reclamation and O&amp;M costs'!O23-'1 Reclamation and O&amp;M costs'!O22)+O14*('1 Reclamation and O&amp;M costs'!O24-'1 Reclamation and O&amp;M costs'!O23)+O15*(100-'1 Reclamation and O&amp;M costs'!O24)</f>
        <v>373198</v>
      </c>
      <c r="P16" s="10"/>
    </row>
    <row r="17" spans="2:17" ht="15.6" x14ac:dyDescent="0.3">
      <c r="B17" s="388" t="s">
        <v>89</v>
      </c>
      <c r="C17" s="389"/>
      <c r="D17" s="389"/>
      <c r="E17" s="390"/>
      <c r="F17" s="390"/>
      <c r="G17" s="390"/>
      <c r="H17" s="20"/>
      <c r="I17" s="20"/>
      <c r="J17" s="20"/>
      <c r="K17" s="20"/>
      <c r="L17" s="20"/>
      <c r="M17" s="20"/>
      <c r="N17" s="20"/>
      <c r="O17" s="20"/>
      <c r="P17" s="21"/>
    </row>
    <row r="18" spans="2:17" x14ac:dyDescent="0.25">
      <c r="B18" s="18" t="str">
        <f>'Unit Cost Table'!F37</f>
        <v>23 Constituents.  Energy Laboratories, Inc., Quote March 2018-2019 (www.energylab.com)</v>
      </c>
      <c r="C18" s="18"/>
      <c r="D18" s="18"/>
      <c r="E18" s="18"/>
      <c r="F18" s="18"/>
      <c r="G18" s="18"/>
    </row>
    <row r="19" spans="2:17" x14ac:dyDescent="0.25">
      <c r="B19" s="17" t="s">
        <v>192</v>
      </c>
      <c r="C19" s="330">
        <v>10</v>
      </c>
      <c r="F19" s="11"/>
      <c r="G19" s="17"/>
      <c r="H19" s="17"/>
      <c r="I19" s="18"/>
      <c r="L19" s="79"/>
      <c r="M19" s="77"/>
      <c r="N19" s="77"/>
    </row>
    <row r="20" spans="2:17" x14ac:dyDescent="0.25">
      <c r="B20" s="77" t="s">
        <v>194</v>
      </c>
      <c r="C20" s="330">
        <v>30</v>
      </c>
      <c r="D20" s="17"/>
      <c r="H20" s="77"/>
      <c r="I20" s="12"/>
      <c r="J20" s="12"/>
      <c r="K20" s="12"/>
      <c r="L20" s="79"/>
      <c r="M20" s="77"/>
      <c r="N20" s="77"/>
    </row>
    <row r="21" spans="2:17" x14ac:dyDescent="0.25">
      <c r="B21" s="82" t="s">
        <v>195</v>
      </c>
      <c r="C21" s="330"/>
      <c r="D21" s="17"/>
      <c r="H21" s="80"/>
      <c r="J21" s="13"/>
      <c r="K21" s="13"/>
      <c r="L21" s="79"/>
      <c r="M21" s="12"/>
      <c r="N21" s="12"/>
      <c r="O21" s="12"/>
      <c r="P21" s="12"/>
      <c r="Q21" s="5"/>
    </row>
    <row r="22" spans="2:17" x14ac:dyDescent="0.25">
      <c r="B22" s="82" t="s">
        <v>196</v>
      </c>
      <c r="C22" s="330"/>
      <c r="D22" s="17"/>
      <c r="H22" s="80"/>
      <c r="J22" s="5"/>
      <c r="K22" s="5"/>
      <c r="L22" s="79"/>
      <c r="M22" s="15"/>
      <c r="N22" s="14"/>
      <c r="O22" s="14"/>
      <c r="P22" s="14"/>
      <c r="Q22" s="5"/>
    </row>
    <row r="23" spans="2:17" x14ac:dyDescent="0.25">
      <c r="B23" s="82" t="s">
        <v>197</v>
      </c>
      <c r="C23" s="330"/>
      <c r="D23" s="16"/>
      <c r="H23" s="80"/>
      <c r="J23" s="5"/>
      <c r="K23" s="5"/>
      <c r="L23" s="79"/>
      <c r="M23" s="5"/>
      <c r="N23" s="5"/>
      <c r="O23" s="5"/>
      <c r="P23" s="5"/>
      <c r="Q23" s="5"/>
    </row>
    <row r="24" spans="2:17" x14ac:dyDescent="0.25">
      <c r="B24" s="77" t="s">
        <v>198</v>
      </c>
      <c r="C24" s="330">
        <v>20</v>
      </c>
      <c r="D24" s="16"/>
      <c r="H24" s="77"/>
      <c r="L24" s="79"/>
      <c r="M24" s="80"/>
      <c r="N24" s="80"/>
      <c r="O24" s="5"/>
      <c r="P24" s="5"/>
      <c r="Q24" s="5"/>
    </row>
    <row r="25" spans="2:17" x14ac:dyDescent="0.25">
      <c r="B25" s="77" t="s">
        <v>199</v>
      </c>
      <c r="C25" s="330">
        <v>45</v>
      </c>
      <c r="D25" s="16"/>
      <c r="H25" s="77"/>
      <c r="L25" s="79"/>
      <c r="M25" s="77"/>
    </row>
    <row r="26" spans="2:17" x14ac:dyDescent="0.25">
      <c r="B26" s="77" t="s">
        <v>200</v>
      </c>
      <c r="C26" s="330">
        <v>160</v>
      </c>
      <c r="D26" s="17"/>
      <c r="H26" s="77"/>
      <c r="L26" s="79"/>
      <c r="M26" s="77"/>
      <c r="N26" s="77"/>
    </row>
    <row r="27" spans="2:17" x14ac:dyDescent="0.25">
      <c r="B27" s="83" t="s">
        <v>205</v>
      </c>
      <c r="C27" s="79"/>
      <c r="D27" s="18"/>
      <c r="H27" s="77"/>
      <c r="L27" s="79"/>
    </row>
    <row r="28" spans="2:17" x14ac:dyDescent="0.25">
      <c r="B28" s="83" t="s">
        <v>206</v>
      </c>
      <c r="C28" s="79"/>
      <c r="D28" s="18"/>
      <c r="H28" s="77"/>
      <c r="L28" s="79"/>
    </row>
    <row r="29" spans="2:17" x14ac:dyDescent="0.25">
      <c r="B29" s="83" t="s">
        <v>207</v>
      </c>
      <c r="C29" s="79"/>
      <c r="D29" s="18"/>
      <c r="H29" s="77"/>
      <c r="L29" s="79"/>
    </row>
    <row r="30" spans="2:17" x14ac:dyDescent="0.25">
      <c r="B30" s="83" t="s">
        <v>201</v>
      </c>
      <c r="C30" s="79"/>
      <c r="D30" s="17"/>
      <c r="H30" s="77"/>
      <c r="L30" s="79"/>
    </row>
    <row r="31" spans="2:17" x14ac:dyDescent="0.25">
      <c r="B31" s="83" t="s">
        <v>208</v>
      </c>
      <c r="C31" s="79"/>
      <c r="D31" s="17"/>
      <c r="H31" s="77"/>
      <c r="L31" s="79"/>
    </row>
    <row r="32" spans="2:17" x14ac:dyDescent="0.25">
      <c r="B32" s="83" t="s">
        <v>209</v>
      </c>
      <c r="C32" s="79"/>
      <c r="D32" s="16"/>
      <c r="H32" s="77"/>
      <c r="L32" s="79"/>
    </row>
    <row r="33" spans="2:13" x14ac:dyDescent="0.25">
      <c r="B33" s="83" t="s">
        <v>210</v>
      </c>
      <c r="C33" s="79"/>
      <c r="D33" s="16"/>
      <c r="H33" s="77"/>
      <c r="L33" s="79"/>
    </row>
    <row r="34" spans="2:13" x14ac:dyDescent="0.25">
      <c r="B34" s="83" t="s">
        <v>211</v>
      </c>
      <c r="C34" s="79"/>
      <c r="D34" s="16"/>
      <c r="H34" s="77"/>
      <c r="L34" s="79"/>
    </row>
    <row r="35" spans="2:13" x14ac:dyDescent="0.25">
      <c r="B35" s="83" t="s">
        <v>212</v>
      </c>
      <c r="C35" s="79"/>
      <c r="D35" s="16"/>
      <c r="H35" s="77"/>
      <c r="L35" s="79"/>
    </row>
    <row r="36" spans="2:13" x14ac:dyDescent="0.25">
      <c r="B36" s="83" t="s">
        <v>202</v>
      </c>
      <c r="C36" s="79"/>
      <c r="D36" s="16"/>
      <c r="H36" s="77"/>
      <c r="L36" s="79"/>
    </row>
    <row r="37" spans="2:13" x14ac:dyDescent="0.25">
      <c r="B37" s="83" t="s">
        <v>213</v>
      </c>
      <c r="C37" s="79"/>
      <c r="D37" s="16"/>
      <c r="H37" s="77"/>
      <c r="L37" s="79"/>
    </row>
    <row r="38" spans="2:13" x14ac:dyDescent="0.25">
      <c r="B38" s="83" t="s">
        <v>214</v>
      </c>
      <c r="C38" s="79"/>
      <c r="D38" s="16"/>
      <c r="H38" s="77"/>
      <c r="L38" s="79"/>
    </row>
    <row r="39" spans="2:13" x14ac:dyDescent="0.25">
      <c r="B39" s="83" t="s">
        <v>203</v>
      </c>
      <c r="C39" s="79"/>
      <c r="D39" s="16"/>
      <c r="H39" s="77"/>
      <c r="L39" s="79"/>
    </row>
    <row r="40" spans="2:13" x14ac:dyDescent="0.25">
      <c r="B40" s="83" t="s">
        <v>215</v>
      </c>
      <c r="C40" s="79"/>
      <c r="D40" s="17"/>
      <c r="H40" s="77"/>
      <c r="L40" s="79"/>
    </row>
    <row r="41" spans="2:13" x14ac:dyDescent="0.25">
      <c r="B41" s="83" t="s">
        <v>204</v>
      </c>
      <c r="C41" s="79"/>
      <c r="D41" s="16"/>
      <c r="H41" s="77"/>
      <c r="L41" s="79"/>
    </row>
    <row r="42" spans="2:13" x14ac:dyDescent="0.25">
      <c r="B42" s="83" t="s">
        <v>216</v>
      </c>
      <c r="C42" s="79"/>
      <c r="D42" s="16"/>
      <c r="H42" s="77"/>
      <c r="L42" s="79"/>
    </row>
    <row r="43" spans="2:13" x14ac:dyDescent="0.25">
      <c r="B43" s="78" t="s">
        <v>193</v>
      </c>
      <c r="C43" s="81">
        <v>15</v>
      </c>
      <c r="H43" s="80"/>
      <c r="I43" s="5"/>
      <c r="J43" s="5"/>
      <c r="K43" s="5"/>
      <c r="L43" s="84"/>
      <c r="M43" s="77"/>
    </row>
    <row r="44" spans="2:13" x14ac:dyDescent="0.25">
      <c r="B44" s="83"/>
      <c r="C44" s="9">
        <f>SUM(C19:C43)</f>
        <v>280</v>
      </c>
      <c r="D44" s="83"/>
      <c r="E44" s="331"/>
      <c r="L44" s="9"/>
    </row>
  </sheetData>
  <mergeCells count="5">
    <mergeCell ref="C10:E10"/>
    <mergeCell ref="F10:H10"/>
    <mergeCell ref="I10:K10"/>
    <mergeCell ref="B4:F4"/>
    <mergeCell ref="G4:L4"/>
  </mergeCells>
  <phoneticPr fontId="17" type="noConversion"/>
  <printOptions horizontalCentered="1"/>
  <pageMargins left="0.5" right="0.5" top="1" bottom="1" header="0.5" footer="0.5"/>
  <pageSetup scale="74" orientation="landscape" horizontalDpi="4294967292" r:id="rId1"/>
  <headerFooter alignWithMargins="0">
    <oddFooter>&amp;C&amp;F
&amp;   Sampling Costs Sheet 2
&amp;
Page &amp;P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M156"/>
  <sheetViews>
    <sheetView workbookViewId="0">
      <selection activeCell="G7" sqref="G7"/>
    </sheetView>
  </sheetViews>
  <sheetFormatPr defaultColWidth="8" defaultRowHeight="13.2" x14ac:dyDescent="0.25"/>
  <cols>
    <col min="1" max="1" width="6.3984375" style="87" customWidth="1"/>
    <col min="2" max="2" width="8" style="363"/>
    <col min="3" max="3" width="15.8984375" style="87" customWidth="1"/>
    <col min="4" max="4" width="12.5" style="87" customWidth="1"/>
    <col min="5" max="5" width="12.59765625" style="87" customWidth="1"/>
    <col min="6" max="6" width="14.8984375" style="87" customWidth="1"/>
    <col min="7" max="7" width="8" style="87"/>
    <col min="8" max="12" width="8" style="87" customWidth="1"/>
    <col min="13" max="14" width="10.09765625" style="87" customWidth="1"/>
    <col min="15" max="15" width="13.3984375" style="87" customWidth="1"/>
    <col min="16" max="16" width="6.3984375" style="87" customWidth="1"/>
    <col min="17" max="17" width="9.19921875" style="87" customWidth="1"/>
    <col min="18" max="18" width="12.8984375" style="87" customWidth="1"/>
    <col min="19" max="19" width="9.19921875" style="87" customWidth="1"/>
    <col min="20" max="20" width="14.8984375" style="87" customWidth="1"/>
    <col min="21" max="21" width="11.5" style="87" customWidth="1"/>
    <col min="22" max="22" width="6.3984375" style="87" customWidth="1"/>
    <col min="23" max="25" width="10.19921875" style="87" customWidth="1"/>
    <col min="26" max="26" width="10.09765625" style="87" customWidth="1"/>
    <col min="27" max="29" width="8" style="87" customWidth="1"/>
    <col min="30" max="30" width="10.09765625" style="87" customWidth="1"/>
    <col min="31" max="31" width="8" style="87" customWidth="1"/>
    <col min="32" max="32" width="9" style="87" customWidth="1"/>
    <col min="33" max="33" width="8.8984375" style="87" customWidth="1"/>
    <col min="34" max="34" width="10.5" style="87" customWidth="1"/>
    <col min="35" max="35" width="11" style="87" customWidth="1"/>
    <col min="36" max="36" width="9" style="87" customWidth="1"/>
    <col min="37" max="16384" width="8" style="87"/>
  </cols>
  <sheetData>
    <row r="2" spans="1:39" ht="16.2" x14ac:dyDescent="0.3">
      <c r="B2" s="368" t="s">
        <v>174</v>
      </c>
      <c r="F2" s="89" t="str">
        <f>'4 Summary'!E1</f>
        <v>Continental Mine</v>
      </c>
      <c r="M2" s="85"/>
      <c r="N2" s="85"/>
      <c r="O2" s="86"/>
      <c r="Q2" s="86"/>
      <c r="R2" s="86"/>
      <c r="S2" s="86"/>
      <c r="T2" s="86"/>
      <c r="W2" s="88"/>
      <c r="X2" s="88"/>
      <c r="Y2" s="88"/>
    </row>
    <row r="3" spans="1:39" ht="15.6" x14ac:dyDescent="0.3">
      <c r="F3" s="92" t="s">
        <v>179</v>
      </c>
      <c r="M3" s="90"/>
      <c r="N3" s="85"/>
      <c r="O3" s="86"/>
      <c r="Q3" s="86"/>
      <c r="R3" s="86"/>
      <c r="S3" s="86"/>
      <c r="T3" s="86"/>
      <c r="W3" s="88"/>
      <c r="X3" s="88"/>
      <c r="Y3" s="88"/>
    </row>
    <row r="4" spans="1:39" ht="16.2" x14ac:dyDescent="0.35">
      <c r="B4" s="87"/>
      <c r="C4" s="370" t="s">
        <v>309</v>
      </c>
      <c r="D4" s="371" t="s">
        <v>303</v>
      </c>
      <c r="F4" s="95">
        <f>'4 Summary'!E3</f>
        <v>43553</v>
      </c>
      <c r="N4" s="93"/>
      <c r="O4" s="86"/>
      <c r="Q4" s="86"/>
      <c r="R4" s="86"/>
      <c r="S4" s="86"/>
      <c r="T4" s="86"/>
      <c r="W4" s="94"/>
      <c r="X4" s="94"/>
      <c r="Y4" s="94"/>
    </row>
    <row r="5" spans="1:39" ht="26.4" x14ac:dyDescent="0.35">
      <c r="B5" s="87"/>
      <c r="C5" s="372" t="str">
        <f>C11</f>
        <v>Water Management Capital</v>
      </c>
      <c r="D5" s="373">
        <f ca="1">C113</f>
        <v>218428.73873876015</v>
      </c>
      <c r="F5" s="95"/>
      <c r="N5" s="93"/>
      <c r="O5" s="86"/>
      <c r="Q5" s="86"/>
      <c r="R5" s="86"/>
      <c r="S5" s="86"/>
      <c r="T5" s="86"/>
      <c r="W5" s="94"/>
      <c r="X5" s="94"/>
      <c r="Y5" s="94"/>
    </row>
    <row r="6" spans="1:39" x14ac:dyDescent="0.25">
      <c r="B6" s="87"/>
      <c r="C6" s="374" t="str">
        <f>D11</f>
        <v>Capital Removal</v>
      </c>
      <c r="D6" s="373">
        <f>D113</f>
        <v>271359.68599999999</v>
      </c>
      <c r="M6" s="86"/>
      <c r="N6" s="86"/>
      <c r="Q6" s="86"/>
      <c r="R6" s="86"/>
      <c r="S6" s="86"/>
      <c r="T6" s="86"/>
      <c r="V6" s="86"/>
    </row>
    <row r="7" spans="1:39" ht="16.2" x14ac:dyDescent="0.35">
      <c r="B7" s="87"/>
      <c r="C7" s="374" t="str">
        <f>E11</f>
        <v>O&amp;M</v>
      </c>
      <c r="D7" s="373">
        <f>E113</f>
        <v>1654727.4189173421</v>
      </c>
      <c r="M7" s="93" t="s">
        <v>308</v>
      </c>
      <c r="R7" s="88" t="s">
        <v>151</v>
      </c>
      <c r="S7" s="96">
        <f>'4 Summary'!$C$9</f>
        <v>0.3</v>
      </c>
      <c r="T7" s="86"/>
      <c r="V7" s="86"/>
    </row>
    <row r="8" spans="1:39" x14ac:dyDescent="0.25">
      <c r="B8" s="87"/>
      <c r="C8" s="375" t="s">
        <v>307</v>
      </c>
      <c r="D8" s="376">
        <f ca="1">ROUND(SUM(D5:D7),-3)</f>
        <v>2145000</v>
      </c>
      <c r="M8" s="86"/>
      <c r="R8" s="88" t="s">
        <v>152</v>
      </c>
      <c r="S8" s="96">
        <f>'4 Summary'!$C$15</f>
        <v>0.17499999999999999</v>
      </c>
      <c r="T8" s="86"/>
      <c r="V8" s="86"/>
    </row>
    <row r="9" spans="1:39" x14ac:dyDescent="0.25">
      <c r="M9" s="86"/>
      <c r="N9" s="86"/>
      <c r="O9" s="86"/>
      <c r="P9" s="97"/>
      <c r="Q9" s="86"/>
      <c r="R9" s="86"/>
      <c r="S9" s="86"/>
      <c r="T9" s="86"/>
      <c r="U9" s="86"/>
      <c r="V9" s="86"/>
    </row>
    <row r="10" spans="1:39" ht="15" thickBot="1" x14ac:dyDescent="0.35">
      <c r="B10" s="362"/>
      <c r="C10" s="417" t="s">
        <v>304</v>
      </c>
      <c r="D10" s="417"/>
      <c r="E10" s="417"/>
      <c r="F10" s="417"/>
      <c r="M10" s="267" t="s">
        <v>46</v>
      </c>
      <c r="N10" s="268"/>
      <c r="O10" s="268"/>
      <c r="P10" s="86"/>
      <c r="Q10" s="267" t="s">
        <v>133</v>
      </c>
      <c r="R10" s="268"/>
      <c r="S10" s="268"/>
      <c r="T10" s="268"/>
      <c r="U10" s="268"/>
      <c r="V10" s="86"/>
      <c r="W10" s="267" t="s">
        <v>45</v>
      </c>
      <c r="X10" s="268"/>
      <c r="Y10" s="268"/>
      <c r="Z10" s="268"/>
      <c r="AA10" s="86"/>
      <c r="AB10" s="267" t="s">
        <v>47</v>
      </c>
      <c r="AC10" s="350"/>
      <c r="AD10" s="350"/>
      <c r="AE10" s="86"/>
      <c r="AF10" s="267" t="s">
        <v>48</v>
      </c>
      <c r="AG10" s="268"/>
      <c r="AH10" s="268"/>
      <c r="AI10" s="268"/>
      <c r="AJ10" s="86"/>
      <c r="AL10" s="98"/>
    </row>
    <row r="11" spans="1:39" s="103" customFormat="1" ht="28.8" x14ac:dyDescent="0.25">
      <c r="B11" s="393" t="s">
        <v>296</v>
      </c>
      <c r="C11" s="357" t="s">
        <v>298</v>
      </c>
      <c r="D11" s="369" t="s">
        <v>305</v>
      </c>
      <c r="E11" s="358" t="s">
        <v>50</v>
      </c>
      <c r="F11" s="359" t="s">
        <v>306</v>
      </c>
      <c r="M11" s="99" t="s">
        <v>324</v>
      </c>
      <c r="N11" s="394" t="s">
        <v>333</v>
      </c>
      <c r="O11" s="100" t="s">
        <v>50</v>
      </c>
      <c r="P11" s="101"/>
      <c r="Q11" s="99"/>
      <c r="R11" s="394" t="s">
        <v>333</v>
      </c>
      <c r="S11" s="394" t="s">
        <v>305</v>
      </c>
      <c r="T11" s="395" t="s">
        <v>334</v>
      </c>
      <c r="U11" s="100" t="s">
        <v>91</v>
      </c>
      <c r="V11" s="101"/>
      <c r="W11" s="99"/>
      <c r="X11" s="394" t="s">
        <v>333</v>
      </c>
      <c r="Y11" s="394" t="s">
        <v>305</v>
      </c>
      <c r="Z11" s="100" t="s">
        <v>50</v>
      </c>
      <c r="AA11" s="102"/>
      <c r="AB11" s="99"/>
      <c r="AC11" s="394" t="s">
        <v>305</v>
      </c>
      <c r="AD11" s="100" t="s">
        <v>50</v>
      </c>
      <c r="AE11" s="102"/>
      <c r="AF11" s="99"/>
      <c r="AG11" s="100" t="s">
        <v>50</v>
      </c>
      <c r="AH11" s="102"/>
      <c r="AI11" s="102" t="s">
        <v>169</v>
      </c>
      <c r="AJ11" s="102"/>
      <c r="AL11" s="104"/>
      <c r="AM11" s="99"/>
    </row>
    <row r="12" spans="1:39" s="103" customFormat="1" ht="15" thickBot="1" x14ac:dyDescent="0.3">
      <c r="B12" s="360" t="s">
        <v>43</v>
      </c>
      <c r="C12" s="360" t="s">
        <v>303</v>
      </c>
      <c r="D12" s="361" t="s">
        <v>303</v>
      </c>
      <c r="E12" s="360" t="s">
        <v>303</v>
      </c>
      <c r="F12" s="360" t="s">
        <v>303</v>
      </c>
      <c r="M12" s="351" t="s">
        <v>43</v>
      </c>
      <c r="N12" s="351" t="s">
        <v>0</v>
      </c>
      <c r="O12" s="351" t="s">
        <v>0</v>
      </c>
      <c r="P12" s="101"/>
      <c r="Q12" s="351" t="s">
        <v>43</v>
      </c>
      <c r="R12" s="351" t="s">
        <v>0</v>
      </c>
      <c r="S12" s="351" t="s">
        <v>0</v>
      </c>
      <c r="T12" s="351" t="s">
        <v>297</v>
      </c>
      <c r="U12" s="351" t="s">
        <v>297</v>
      </c>
      <c r="V12" s="101"/>
      <c r="W12" s="351" t="s">
        <v>43</v>
      </c>
      <c r="X12" s="351" t="s">
        <v>0</v>
      </c>
      <c r="Y12" s="351" t="s">
        <v>0</v>
      </c>
      <c r="Z12" s="351" t="s">
        <v>0</v>
      </c>
      <c r="AA12" s="102"/>
      <c r="AB12" s="351" t="s">
        <v>43</v>
      </c>
      <c r="AC12" s="351" t="s">
        <v>0</v>
      </c>
      <c r="AD12" s="351" t="s">
        <v>0</v>
      </c>
      <c r="AE12" s="102"/>
      <c r="AF12" s="351" t="s">
        <v>43</v>
      </c>
      <c r="AG12" s="351" t="s">
        <v>0</v>
      </c>
      <c r="AH12" s="352"/>
      <c r="AI12" s="352" t="s">
        <v>296</v>
      </c>
      <c r="AJ12" s="102"/>
    </row>
    <row r="13" spans="1:39" x14ac:dyDescent="0.25">
      <c r="A13" s="392"/>
      <c r="B13" s="364">
        <v>1</v>
      </c>
      <c r="C13" s="353">
        <f>SUM(N13,R13,X13)</f>
        <v>105863.54988568033</v>
      </c>
      <c r="D13" s="353">
        <f>SUM(S13,Y13,AC13)</f>
        <v>0</v>
      </c>
      <c r="E13" s="353">
        <f>SUM(O13,T13:U13,Z13,AD13,AG13)</f>
        <v>120514.60952052924</v>
      </c>
      <c r="F13" s="353">
        <f>SUM(C13:E13)</f>
        <v>226378.15940620957</v>
      </c>
      <c r="M13" s="86">
        <v>0</v>
      </c>
      <c r="N13" s="105">
        <f>SUMIF('1 Reclamation and O&amp;M costs'!$N$28:$N$37,M13,'1 Reclamation and O&amp;M costs'!$P$28:$P$37)*($S$7+1)</f>
        <v>105863.54988568033</v>
      </c>
      <c r="O13" s="106">
        <f>SUMIF('1 Reclamation and O&amp;M costs'!$M$28:$M$37,"&gt;="&amp;M13,'1 Reclamation and O&amp;M costs'!$R$28:$R$37)*($S$8+1)</f>
        <v>17301.246468092391</v>
      </c>
      <c r="P13" s="86"/>
      <c r="Q13" s="86">
        <v>0</v>
      </c>
      <c r="R13" s="105">
        <f>SUMIF('1 Reclamation and O&amp;M costs'!$J$45:$J$60,'3 WM cash flow'!Q13,'1 Reclamation and O&amp;M costs'!$P$70:$P$85)*(1+$S$8)</f>
        <v>0</v>
      </c>
      <c r="S13" s="106">
        <f>SUMIF('1 Reclamation and O&amp;M costs'!$I$45:$I$60,'3 WM cash flow'!Q13,'1 Reclamation and O&amp;M costs'!$S$70:$S$85)*(1+$S$7)</f>
        <v>0</v>
      </c>
      <c r="T13" s="105">
        <f>(IF('3 WM cash flow'!Q13&lt;=('1 Reclamation and O&amp;M costs'!$O$23-'1 Reclamation and O&amp;M costs'!$O$22),0,SUMIF('1 Reclamation and O&amp;M costs'!$I$45:$I$60,"&gt;="&amp;'3 WM cash flow'!Q13,'1 Reclamation and O&amp;M costs'!$N$70:$N$85))+IF('3 WM cash flow'!Q13&lt;=('1 Reclamation and O&amp;M costs'!$O$23-'1 Reclamation and O&amp;M costs'!$O$22),'1 Reclamation and O&amp;M costs'!$I$89,0))*(1+$S$8)</f>
        <v>4183.9523535159478</v>
      </c>
      <c r="U13" s="106">
        <f>SUMIF('1 Reclamation and O&amp;M costs'!$I$45:$I$60,"&gt;="&amp;Q13,'1 Reclamation and O&amp;M costs'!$Q$70:$Q$85)*(1+$S$8)</f>
        <v>57846.153846153851</v>
      </c>
      <c r="V13" s="86"/>
      <c r="W13" s="86">
        <v>0</v>
      </c>
      <c r="X13" s="105">
        <f>SUMIF('1 Reclamation and O&amp;M costs'!$L$95:$L$112,'3 WM cash flow'!W13,'1 Reclamation and O&amp;M costs'!P95:$P$112)*(1+$S$7)</f>
        <v>0</v>
      </c>
      <c r="Y13" s="106">
        <f>SUMIF('1 Reclamation and O&amp;M costs'!$K$95:$K$112,'3 WM cash flow'!W13,'1 Reclamation and O&amp;M costs'!$T$95:$T$112)*(1+$S$7)</f>
        <v>0</v>
      </c>
      <c r="Z13" s="105">
        <f>SUMIF('1 Reclamation and O&amp;M costs'!$K$95:$K$112,"&gt;="&amp;M13,'1 Reclamation and O&amp;M costs'!$R$95:$R$112)*(1+$S$8)</f>
        <v>14759.564865</v>
      </c>
      <c r="AA13" s="106"/>
      <c r="AB13" s="86">
        <v>0</v>
      </c>
      <c r="AC13" s="105">
        <f>SUMIF('1 Reclamation and O&amp;M costs'!$H$122:$H$132,'3 WM cash flow'!AB13,'1 Reclamation and O&amp;M costs'!$Q$122:$Q$132)*(1+$S$7)</f>
        <v>0</v>
      </c>
      <c r="AD13" s="106">
        <f>SUMIF('1 Reclamation and O&amp;M costs'!$H$122:$H$132,"&gt;="&amp;AB13,'1 Reclamation and O&amp;M costs'!$O$122:$O$132)*(1+$S$8)</f>
        <v>12046.391987767045</v>
      </c>
      <c r="AE13" s="107"/>
      <c r="AF13" s="86">
        <v>0</v>
      </c>
      <c r="AG13" s="105">
        <f>(IF(AF13&lt;('1 Reclamation and O&amp;M costs'!$O$23-'1 Reclamation and O&amp;M costs'!$O$22),'2 Sampling Cost'!$O$13,IF(AF13&lt;'1 Reclamation and O&amp;M costs'!$O$24,'2 Sampling Cost'!$O$14,'2 Sampling Cost'!$O$15)))*(1+$S$8)</f>
        <v>14377.300000000001</v>
      </c>
      <c r="AH13" s="106"/>
      <c r="AI13" s="105">
        <f>SUM(AG13,AC13:AD13,X13:Z13,R13:U13,N13:O13)</f>
        <v>226378.15940620957</v>
      </c>
      <c r="AJ13" s="106"/>
    </row>
    <row r="14" spans="1:39" x14ac:dyDescent="0.25">
      <c r="B14" s="365">
        <f t="shared" ref="B14:B46" si="0">1+B13</f>
        <v>2</v>
      </c>
      <c r="C14" s="354">
        <f t="shared" ref="C14:C77" ca="1" si="1">SUM(N14,R14,X14)</f>
        <v>0</v>
      </c>
      <c r="D14" s="354">
        <f t="shared" ref="D14:D77" si="2">SUM(S14,Y14,AC14)</f>
        <v>0</v>
      </c>
      <c r="E14" s="354">
        <f t="shared" ref="E14:E77" si="3">SUM(O14,T14:U14,Z14,AD14,AG14)</f>
        <v>120514.60952052924</v>
      </c>
      <c r="F14" s="354">
        <f t="shared" ref="F14:F77" ca="1" si="4">SUM(C14:E14)</f>
        <v>120514.60952052924</v>
      </c>
      <c r="M14" s="86">
        <f t="shared" ref="M14:M46" si="5">1+M13</f>
        <v>1</v>
      </c>
      <c r="N14" s="105">
        <f>SUMIF('1 Reclamation and O&amp;M costs'!$N$28:$N$37,M14,'1 Reclamation and O&amp;M costs'!$P$28:$P$37)*($S$7+1)</f>
        <v>0</v>
      </c>
      <c r="O14" s="106">
        <f>SUMIF('1 Reclamation and O&amp;M costs'!$M$28:$M$37,"&gt;="&amp;M14,'1 Reclamation and O&amp;M costs'!$R$28:$R$37)*($S$8+1)</f>
        <v>17301.246468092391</v>
      </c>
      <c r="P14" s="86"/>
      <c r="Q14" s="86">
        <f t="shared" ref="Q14:Q45" si="6">1+Q13</f>
        <v>1</v>
      </c>
      <c r="R14" s="105">
        <f>SUMIF('1 Reclamation and O&amp;M costs'!$J$45:$J$60,'3 WM cash flow'!Q14,'1 Reclamation and O&amp;M costs'!$P$70:$P$85)*(1+$S$8)</f>
        <v>0</v>
      </c>
      <c r="S14" s="106">
        <f>SUMIF('1 Reclamation and O&amp;M costs'!$I$45:$I$60,'3 WM cash flow'!Q14,'1 Reclamation and O&amp;M costs'!$S$70:$S$85)*(1+$S$7)</f>
        <v>0</v>
      </c>
      <c r="T14" s="105">
        <f>(IF('3 WM cash flow'!Q14&lt;=('1 Reclamation and O&amp;M costs'!$O$23-'1 Reclamation and O&amp;M costs'!$O$22),0,SUMIF('1 Reclamation and O&amp;M costs'!$I$45:$I$60,"&gt;="&amp;'3 WM cash flow'!Q14,'1 Reclamation and O&amp;M costs'!$N$70:$N$85))+IF('3 WM cash flow'!Q14&lt;=('1 Reclamation and O&amp;M costs'!$O$23-'1 Reclamation and O&amp;M costs'!$O$22),'1 Reclamation and O&amp;M costs'!$I$89,0))*(1+$S$8)</f>
        <v>4183.9523535159478</v>
      </c>
      <c r="U14" s="106">
        <f>SUMIF('1 Reclamation and O&amp;M costs'!$I$45:$I$60,"&gt;="&amp;Q14,'1 Reclamation and O&amp;M costs'!$Q$70:$Q$85)*(1+$S$8)</f>
        <v>57846.153846153851</v>
      </c>
      <c r="V14" s="86"/>
      <c r="W14" s="86">
        <f t="shared" ref="W14:W45" si="7">W13+1</f>
        <v>1</v>
      </c>
      <c r="X14" s="105">
        <f ca="1">SUMIF('1 Reclamation and O&amp;M costs'!$L$95:$L$112,'3 WM cash flow'!W14,'1 Reclamation and O&amp;M costs'!P96:$P$112)*(1+$S$7)</f>
        <v>0</v>
      </c>
      <c r="Y14" s="106">
        <f>SUMIF('1 Reclamation and O&amp;M costs'!$K$95:$K$112,'3 WM cash flow'!W14,'1 Reclamation and O&amp;M costs'!$T$95:$T$112)*(1+$S$7)</f>
        <v>0</v>
      </c>
      <c r="Z14" s="105">
        <f>SUMIF('1 Reclamation and O&amp;M costs'!$K$95:$K$112,"&gt;="&amp;M14,'1 Reclamation and O&amp;M costs'!$R$95:$R$112)*(1+$S$8)</f>
        <v>14759.564865</v>
      </c>
      <c r="AA14" s="106"/>
      <c r="AB14" s="86">
        <f t="shared" ref="AB14:AB77" si="8">AB13+1</f>
        <v>1</v>
      </c>
      <c r="AC14" s="105">
        <f>SUMIF('1 Reclamation and O&amp;M costs'!$H$122:$H$132,'3 WM cash flow'!AB14,'1 Reclamation and O&amp;M costs'!$Q$122:$Q$132)*(1+$S$7)</f>
        <v>0</v>
      </c>
      <c r="AD14" s="106">
        <f>SUMIF('1 Reclamation and O&amp;M costs'!$H$122:$H$132,"&gt;="&amp;AB14,'1 Reclamation and O&amp;M costs'!$O$122:$O$132)*(1+$S$8)</f>
        <v>12046.391987767045</v>
      </c>
      <c r="AE14" s="107"/>
      <c r="AF14" s="86">
        <f t="shared" ref="AF14:AF77" si="9">AF13+1</f>
        <v>1</v>
      </c>
      <c r="AG14" s="105">
        <f>(IF(AF14&lt;('1 Reclamation and O&amp;M costs'!$O$23-'1 Reclamation and O&amp;M costs'!$O$22),'2 Sampling Cost'!$O$13,IF(AF14&lt;'1 Reclamation and O&amp;M costs'!$O$24,'2 Sampling Cost'!$O$14,'2 Sampling Cost'!$O$15)))*(1+$S$8)</f>
        <v>14377.300000000001</v>
      </c>
      <c r="AH14" s="106"/>
      <c r="AI14" s="105">
        <f t="shared" ref="AI14:AI77" ca="1" si="10">SUM(AG14,AC14:AD14,X14:Z14,R14:U14,N14:O14)</f>
        <v>120514.60952052924</v>
      </c>
      <c r="AJ14" s="106"/>
    </row>
    <row r="15" spans="1:39" x14ac:dyDescent="0.25">
      <c r="B15" s="365">
        <f t="shared" si="0"/>
        <v>3</v>
      </c>
      <c r="C15" s="354">
        <f t="shared" ca="1" si="1"/>
        <v>0</v>
      </c>
      <c r="D15" s="354">
        <f t="shared" si="2"/>
        <v>0</v>
      </c>
      <c r="E15" s="354">
        <f t="shared" si="3"/>
        <v>120514.60952052924</v>
      </c>
      <c r="F15" s="354">
        <f t="shared" ca="1" si="4"/>
        <v>120514.60952052924</v>
      </c>
      <c r="M15" s="86">
        <f t="shared" si="5"/>
        <v>2</v>
      </c>
      <c r="N15" s="105">
        <f>SUMIF('1 Reclamation and O&amp;M costs'!$N$28:$N$37,M15,'1 Reclamation and O&amp;M costs'!$P$28:$P$37)*($S$7+1)</f>
        <v>0</v>
      </c>
      <c r="O15" s="106">
        <f>SUMIF('1 Reclamation and O&amp;M costs'!$M$28:$M$37,"&gt;="&amp;M15,'1 Reclamation and O&amp;M costs'!$R$28:$R$37)*($S$8+1)</f>
        <v>17301.246468092391</v>
      </c>
      <c r="P15" s="86"/>
      <c r="Q15" s="86">
        <f t="shared" si="6"/>
        <v>2</v>
      </c>
      <c r="R15" s="105">
        <f>SUMIF('1 Reclamation and O&amp;M costs'!$J$45:$J$60,'3 WM cash flow'!Q15,'1 Reclamation and O&amp;M costs'!$P$70:$P$85)*(1+$S$8)</f>
        <v>0</v>
      </c>
      <c r="S15" s="106">
        <f>SUMIF('1 Reclamation and O&amp;M costs'!$I$45:$I$60,'3 WM cash flow'!Q15,'1 Reclamation and O&amp;M costs'!$S$70:$S$85)*(1+$S$7)</f>
        <v>0</v>
      </c>
      <c r="T15" s="105">
        <f>(IF('3 WM cash flow'!Q15&lt;=('1 Reclamation and O&amp;M costs'!$O$23-'1 Reclamation and O&amp;M costs'!$O$22),0,SUMIF('1 Reclamation and O&amp;M costs'!$I$45:$I$60,"&gt;="&amp;'3 WM cash flow'!Q15,'1 Reclamation and O&amp;M costs'!$N$70:$N$85))+IF('3 WM cash flow'!Q15&lt;=('1 Reclamation and O&amp;M costs'!$O$23-'1 Reclamation and O&amp;M costs'!$O$22),'1 Reclamation and O&amp;M costs'!$I$89,0))*(1+$S$8)</f>
        <v>4183.9523535159478</v>
      </c>
      <c r="U15" s="106">
        <f>SUMIF('1 Reclamation and O&amp;M costs'!$I$45:$I$60,"&gt;="&amp;Q15,'1 Reclamation and O&amp;M costs'!$Q$70:$Q$85)*(1+$S$8)</f>
        <v>57846.153846153851</v>
      </c>
      <c r="V15" s="86"/>
      <c r="W15" s="86">
        <f t="shared" si="7"/>
        <v>2</v>
      </c>
      <c r="X15" s="105">
        <f ca="1">SUMIF('1 Reclamation and O&amp;M costs'!$L$95:$L$112,'3 WM cash flow'!W15,'1 Reclamation and O&amp;M costs'!P97:$P$112)*(1+$S$7)</f>
        <v>0</v>
      </c>
      <c r="Y15" s="106">
        <f>SUMIF('1 Reclamation and O&amp;M costs'!$K$95:$K$112,'3 WM cash flow'!W15,'1 Reclamation and O&amp;M costs'!$T$95:$T$112)*(1+$S$7)</f>
        <v>0</v>
      </c>
      <c r="Z15" s="105">
        <f>SUMIF('1 Reclamation and O&amp;M costs'!$K$95:$K$112,"&gt;="&amp;M15,'1 Reclamation and O&amp;M costs'!$R$95:$R$112)*(1+$S$8)</f>
        <v>14759.564865</v>
      </c>
      <c r="AA15" s="106"/>
      <c r="AB15" s="86">
        <f t="shared" si="8"/>
        <v>2</v>
      </c>
      <c r="AC15" s="105">
        <f>SUMIF('1 Reclamation and O&amp;M costs'!$H$122:$H$132,'3 WM cash flow'!AB15,'1 Reclamation and O&amp;M costs'!$Q$122:$Q$132)*(1+$S$7)</f>
        <v>0</v>
      </c>
      <c r="AD15" s="106">
        <f>SUMIF('1 Reclamation and O&amp;M costs'!$H$122:$H$132,"&gt;="&amp;AB15,'1 Reclamation and O&amp;M costs'!$O$122:$O$132)*(1+$S$8)</f>
        <v>12046.391987767045</v>
      </c>
      <c r="AE15" s="108"/>
      <c r="AF15" s="86">
        <f t="shared" si="9"/>
        <v>2</v>
      </c>
      <c r="AG15" s="105">
        <f>(IF(AF15&lt;('1 Reclamation and O&amp;M costs'!$O$23-'1 Reclamation and O&amp;M costs'!$O$22),'2 Sampling Cost'!$O$13,IF(AF15&lt;'1 Reclamation and O&amp;M costs'!$O$24,'2 Sampling Cost'!$O$14,'2 Sampling Cost'!$O$15)))*(1+$S$8)</f>
        <v>14377.300000000001</v>
      </c>
      <c r="AH15" s="106"/>
      <c r="AI15" s="105">
        <f t="shared" ca="1" si="10"/>
        <v>120514.60952052924</v>
      </c>
      <c r="AJ15" s="106"/>
    </row>
    <row r="16" spans="1:39" x14ac:dyDescent="0.25">
      <c r="B16" s="365">
        <f t="shared" si="0"/>
        <v>4</v>
      </c>
      <c r="C16" s="354">
        <f t="shared" ca="1" si="1"/>
        <v>0</v>
      </c>
      <c r="D16" s="354">
        <f t="shared" si="2"/>
        <v>0</v>
      </c>
      <c r="E16" s="354">
        <f t="shared" si="3"/>
        <v>120514.60952052924</v>
      </c>
      <c r="F16" s="354">
        <f t="shared" ca="1" si="4"/>
        <v>120514.60952052924</v>
      </c>
      <c r="M16" s="86">
        <f t="shared" si="5"/>
        <v>3</v>
      </c>
      <c r="N16" s="105">
        <f>SUMIF('1 Reclamation and O&amp;M costs'!$N$28:$N$37,M16,'1 Reclamation and O&amp;M costs'!$P$28:$P$37)*($S$7+1)</f>
        <v>0</v>
      </c>
      <c r="O16" s="106">
        <f>SUMIF('1 Reclamation and O&amp;M costs'!$M$28:$M$37,"&gt;="&amp;M16,'1 Reclamation and O&amp;M costs'!$R$28:$R$37)*($S$8+1)</f>
        <v>17301.246468092391</v>
      </c>
      <c r="P16" s="86"/>
      <c r="Q16" s="86">
        <f t="shared" si="6"/>
        <v>3</v>
      </c>
      <c r="R16" s="105">
        <f>SUMIF('1 Reclamation and O&amp;M costs'!$J$45:$J$60,'3 WM cash flow'!Q16,'1 Reclamation and O&amp;M costs'!$P$70:$P$85)*(1+$S$8)</f>
        <v>0</v>
      </c>
      <c r="S16" s="106">
        <f>SUMIF('1 Reclamation and O&amp;M costs'!$I$45:$I$60,'3 WM cash flow'!Q16,'1 Reclamation and O&amp;M costs'!$S$70:$S$85)*(1+$S$7)</f>
        <v>0</v>
      </c>
      <c r="T16" s="105">
        <f>(IF('3 WM cash flow'!Q16&lt;=('1 Reclamation and O&amp;M costs'!$O$23-'1 Reclamation and O&amp;M costs'!$O$22),0,SUMIF('1 Reclamation and O&amp;M costs'!$I$45:$I$60,"&gt;="&amp;'3 WM cash flow'!Q16,'1 Reclamation and O&amp;M costs'!$N$70:$N$85))+IF('3 WM cash flow'!Q16&lt;=('1 Reclamation and O&amp;M costs'!$O$23-'1 Reclamation and O&amp;M costs'!$O$22),'1 Reclamation and O&amp;M costs'!$I$89,0))*(1+$S$8)</f>
        <v>4183.9523535159478</v>
      </c>
      <c r="U16" s="106">
        <f>SUMIF('1 Reclamation and O&amp;M costs'!$I$45:$I$60,"&gt;="&amp;Q16,'1 Reclamation and O&amp;M costs'!$Q$70:$Q$85)*(1+$S$8)</f>
        <v>57846.153846153851</v>
      </c>
      <c r="V16" s="86"/>
      <c r="W16" s="86">
        <f t="shared" si="7"/>
        <v>3</v>
      </c>
      <c r="X16" s="105">
        <f ca="1">SUMIF('1 Reclamation and O&amp;M costs'!$L$95:$L$112,'3 WM cash flow'!W16,'1 Reclamation and O&amp;M costs'!P98:$P$112)*(1+$S$7)</f>
        <v>0</v>
      </c>
      <c r="Y16" s="106">
        <f>SUMIF('1 Reclamation and O&amp;M costs'!$K$95:$K$112,'3 WM cash flow'!W16,'1 Reclamation and O&amp;M costs'!$T$95:$T$112)*(1+$S$7)</f>
        <v>0</v>
      </c>
      <c r="Z16" s="105">
        <f>SUMIF('1 Reclamation and O&amp;M costs'!$K$95:$K$112,"&gt;="&amp;M16,'1 Reclamation and O&amp;M costs'!$R$95:$R$112)*(1+$S$8)</f>
        <v>14759.564865</v>
      </c>
      <c r="AA16" s="106"/>
      <c r="AB16" s="86">
        <f t="shared" si="8"/>
        <v>3</v>
      </c>
      <c r="AC16" s="105">
        <f>SUMIF('1 Reclamation and O&amp;M costs'!$H$122:$H$132,'3 WM cash flow'!AB16,'1 Reclamation and O&amp;M costs'!$Q$122:$Q$132)*(1+$S$7)</f>
        <v>0</v>
      </c>
      <c r="AD16" s="106">
        <f>SUMIF('1 Reclamation and O&amp;M costs'!$H$122:$H$132,"&gt;="&amp;AB16,'1 Reclamation and O&amp;M costs'!$O$122:$O$132)*(1+$S$8)</f>
        <v>12046.391987767045</v>
      </c>
      <c r="AE16" s="108"/>
      <c r="AF16" s="86">
        <f t="shared" si="9"/>
        <v>3</v>
      </c>
      <c r="AG16" s="105">
        <f>(IF(AF16&lt;('1 Reclamation and O&amp;M costs'!$O$23-'1 Reclamation and O&amp;M costs'!$O$22),'2 Sampling Cost'!$O$13,IF(AF16&lt;'1 Reclamation and O&amp;M costs'!$O$24,'2 Sampling Cost'!$O$14,'2 Sampling Cost'!$O$15)))*(1+$S$8)</f>
        <v>14377.300000000001</v>
      </c>
      <c r="AH16" s="106"/>
      <c r="AI16" s="105">
        <f t="shared" ca="1" si="10"/>
        <v>120514.60952052924</v>
      </c>
      <c r="AJ16" s="106"/>
    </row>
    <row r="17" spans="2:36" x14ac:dyDescent="0.25">
      <c r="B17" s="365">
        <f t="shared" si="0"/>
        <v>5</v>
      </c>
      <c r="C17" s="354">
        <f t="shared" ca="1" si="1"/>
        <v>0</v>
      </c>
      <c r="D17" s="354">
        <f t="shared" si="2"/>
        <v>0</v>
      </c>
      <c r="E17" s="354">
        <f t="shared" si="3"/>
        <v>120514.60952052924</v>
      </c>
      <c r="F17" s="354">
        <f t="shared" ca="1" si="4"/>
        <v>120514.60952052924</v>
      </c>
      <c r="M17" s="86">
        <f t="shared" si="5"/>
        <v>4</v>
      </c>
      <c r="N17" s="105">
        <f>SUMIF('1 Reclamation and O&amp;M costs'!$N$28:$N$37,M17,'1 Reclamation and O&amp;M costs'!$P$28:$P$37)*($S$7+1)</f>
        <v>0</v>
      </c>
      <c r="O17" s="106">
        <f>SUMIF('1 Reclamation and O&amp;M costs'!$M$28:$M$37,"&gt;="&amp;M17,'1 Reclamation and O&amp;M costs'!$R$28:$R$37)*($S$8+1)</f>
        <v>17301.246468092391</v>
      </c>
      <c r="P17" s="86"/>
      <c r="Q17" s="86">
        <f t="shared" si="6"/>
        <v>4</v>
      </c>
      <c r="R17" s="105">
        <f>SUMIF('1 Reclamation and O&amp;M costs'!$J$45:$J$60,'3 WM cash flow'!Q17,'1 Reclamation and O&amp;M costs'!$P$70:$P$85)*(1+$S$8)</f>
        <v>0</v>
      </c>
      <c r="S17" s="106">
        <f>SUMIF('1 Reclamation and O&amp;M costs'!$I$45:$I$60,'3 WM cash flow'!Q17,'1 Reclamation and O&amp;M costs'!$S$70:$S$85)*(1+$S$7)</f>
        <v>0</v>
      </c>
      <c r="T17" s="105">
        <f>(IF('3 WM cash flow'!Q17&lt;=('1 Reclamation and O&amp;M costs'!$O$23-'1 Reclamation and O&amp;M costs'!$O$22),0,SUMIF('1 Reclamation and O&amp;M costs'!$I$45:$I$60,"&gt;="&amp;'3 WM cash flow'!Q17,'1 Reclamation and O&amp;M costs'!$N$70:$N$85))+IF('3 WM cash flow'!Q17&lt;=('1 Reclamation and O&amp;M costs'!$O$23-'1 Reclamation and O&amp;M costs'!$O$22),'1 Reclamation and O&amp;M costs'!$I$89,0))*(1+$S$8)</f>
        <v>4183.9523535159478</v>
      </c>
      <c r="U17" s="106">
        <f>SUMIF('1 Reclamation and O&amp;M costs'!$I$45:$I$60,"&gt;="&amp;Q17,'1 Reclamation and O&amp;M costs'!$Q$70:$Q$85)*(1+$S$8)</f>
        <v>57846.153846153851</v>
      </c>
      <c r="V17" s="86"/>
      <c r="W17" s="86">
        <f t="shared" si="7"/>
        <v>4</v>
      </c>
      <c r="X17" s="105">
        <f ca="1">SUMIF('1 Reclamation and O&amp;M costs'!$L$95:$L$112,'3 WM cash flow'!W17,'1 Reclamation and O&amp;M costs'!P99:$P$112)*(1+$S$7)</f>
        <v>0</v>
      </c>
      <c r="Y17" s="106">
        <f>SUMIF('1 Reclamation and O&amp;M costs'!$K$95:$K$112,'3 WM cash flow'!W17,'1 Reclamation and O&amp;M costs'!$T$95:$T$112)*(1+$S$7)</f>
        <v>0</v>
      </c>
      <c r="Z17" s="105">
        <f>SUMIF('1 Reclamation and O&amp;M costs'!$K$95:$K$112,"&gt;="&amp;M17,'1 Reclamation and O&amp;M costs'!$R$95:$R$112)*(1+$S$8)</f>
        <v>14759.564865</v>
      </c>
      <c r="AA17" s="106"/>
      <c r="AB17" s="86">
        <f t="shared" si="8"/>
        <v>4</v>
      </c>
      <c r="AC17" s="105">
        <f>SUMIF('1 Reclamation and O&amp;M costs'!$H$122:$H$132,'3 WM cash flow'!AB17,'1 Reclamation and O&amp;M costs'!$Q$122:$Q$132)*(1+$S$7)</f>
        <v>0</v>
      </c>
      <c r="AD17" s="106">
        <f>SUMIF('1 Reclamation and O&amp;M costs'!$H$122:$H$132,"&gt;="&amp;AB17,'1 Reclamation and O&amp;M costs'!$O$122:$O$132)*(1+$S$8)</f>
        <v>12046.391987767045</v>
      </c>
      <c r="AE17" s="108"/>
      <c r="AF17" s="86">
        <f t="shared" si="9"/>
        <v>4</v>
      </c>
      <c r="AG17" s="105">
        <f>(IF(AF17&lt;('1 Reclamation and O&amp;M costs'!$O$23-'1 Reclamation and O&amp;M costs'!$O$22),'2 Sampling Cost'!$O$13,IF(AF17&lt;'1 Reclamation and O&amp;M costs'!$O$24,'2 Sampling Cost'!$O$14,'2 Sampling Cost'!$O$15)))*(1+$S$8)</f>
        <v>14377.300000000001</v>
      </c>
      <c r="AH17" s="106"/>
      <c r="AI17" s="105">
        <f t="shared" ca="1" si="10"/>
        <v>120514.60952052924</v>
      </c>
      <c r="AJ17" s="106"/>
    </row>
    <row r="18" spans="2:36" x14ac:dyDescent="0.25">
      <c r="B18" s="365">
        <f t="shared" si="0"/>
        <v>6</v>
      </c>
      <c r="C18" s="354">
        <f t="shared" ca="1" si="1"/>
        <v>112565.18885307982</v>
      </c>
      <c r="D18" s="354">
        <f t="shared" si="2"/>
        <v>98483.566999999995</v>
      </c>
      <c r="E18" s="354">
        <f t="shared" si="3"/>
        <v>113325.95952052923</v>
      </c>
      <c r="F18" s="354">
        <f t="shared" ca="1" si="4"/>
        <v>324374.71537360904</v>
      </c>
      <c r="M18" s="86">
        <f t="shared" si="5"/>
        <v>5</v>
      </c>
      <c r="N18" s="105">
        <f>SUMIF('1 Reclamation and O&amp;M costs'!$N$28:$N$37,M18,'1 Reclamation and O&amp;M costs'!$P$28:$P$37)*($S$7+1)</f>
        <v>112565.18885307982</v>
      </c>
      <c r="O18" s="106">
        <f>SUMIF('1 Reclamation and O&amp;M costs'!$M$28:$M$37,"&gt;="&amp;M18,'1 Reclamation and O&amp;M costs'!$R$28:$R$37)*($S$8+1)</f>
        <v>17301.246468092391</v>
      </c>
      <c r="P18" s="86"/>
      <c r="Q18" s="86">
        <f t="shared" si="6"/>
        <v>5</v>
      </c>
      <c r="R18" s="105">
        <f>SUMIF('1 Reclamation and O&amp;M costs'!$J$45:$J$60,'3 WM cash flow'!Q18,'1 Reclamation and O&amp;M costs'!$P$70:$P$85)*(1+$S$8)</f>
        <v>0</v>
      </c>
      <c r="S18" s="106">
        <f>SUMIF('1 Reclamation and O&amp;M costs'!$I$45:$I$60,'3 WM cash flow'!Q18,'1 Reclamation and O&amp;M costs'!$S$70:$S$85)*(1+$S$7)</f>
        <v>0</v>
      </c>
      <c r="T18" s="105">
        <f>(IF('3 WM cash flow'!Q18&lt;=('1 Reclamation and O&amp;M costs'!$O$23-'1 Reclamation and O&amp;M costs'!$O$22),0,SUMIF('1 Reclamation and O&amp;M costs'!$I$45:$I$60,"&gt;="&amp;'3 WM cash flow'!Q18,'1 Reclamation and O&amp;M costs'!$N$70:$N$85))+IF('3 WM cash flow'!Q18&lt;=('1 Reclamation and O&amp;M costs'!$O$23-'1 Reclamation and O&amp;M costs'!$O$22),'1 Reclamation and O&amp;M costs'!$I$89,0))*(1+$S$8)</f>
        <v>4183.9523535159478</v>
      </c>
      <c r="U18" s="106">
        <f>SUMIF('1 Reclamation and O&amp;M costs'!$I$45:$I$60,"&gt;="&amp;Q18,'1 Reclamation and O&amp;M costs'!$Q$70:$Q$85)*(1+$S$8)</f>
        <v>57846.153846153851</v>
      </c>
      <c r="V18" s="86"/>
      <c r="W18" s="86">
        <f t="shared" si="7"/>
        <v>5</v>
      </c>
      <c r="X18" s="105">
        <f ca="1">SUMIF('1 Reclamation and O&amp;M costs'!$L$95:$L$112,'3 WM cash flow'!W18,'1 Reclamation and O&amp;M costs'!P100:$P$112)*(1+$S$7)</f>
        <v>0</v>
      </c>
      <c r="Y18" s="106">
        <f>SUMIF('1 Reclamation and O&amp;M costs'!$K$95:$K$112,'3 WM cash flow'!W18,'1 Reclamation and O&amp;M costs'!$T$95:$T$112)*(1+$S$7)</f>
        <v>89100.375</v>
      </c>
      <c r="Z18" s="105">
        <f>SUMIF('1 Reclamation and O&amp;M costs'!$K$95:$K$112,"&gt;="&amp;M18,'1 Reclamation and O&amp;M costs'!$R$95:$R$112)*(1+$S$8)</f>
        <v>14759.564865</v>
      </c>
      <c r="AA18" s="106"/>
      <c r="AB18" s="86">
        <f t="shared" si="8"/>
        <v>5</v>
      </c>
      <c r="AC18" s="105">
        <f>SUMIF('1 Reclamation and O&amp;M costs'!$H$122:$H$132,'3 WM cash flow'!AB18,'1 Reclamation and O&amp;M costs'!$Q$122:$Q$132)*(1+$S$7)</f>
        <v>9383.1919999999991</v>
      </c>
      <c r="AD18" s="106">
        <f>SUMIF('1 Reclamation and O&amp;M costs'!$H$122:$H$132,"&gt;="&amp;AB18,'1 Reclamation and O&amp;M costs'!$O$122:$O$132)*(1+$S$8)</f>
        <v>12046.391987767045</v>
      </c>
      <c r="AE18" s="108"/>
      <c r="AF18" s="86">
        <f t="shared" si="9"/>
        <v>5</v>
      </c>
      <c r="AG18" s="105">
        <f>(IF(AF18&lt;('1 Reclamation and O&amp;M costs'!$O$23-'1 Reclamation and O&amp;M costs'!$O$22),'2 Sampling Cost'!$O$13,IF(AF18&lt;'1 Reclamation and O&amp;M costs'!$O$24,'2 Sampling Cost'!$O$14,'2 Sampling Cost'!$O$15)))*(1+$S$8)</f>
        <v>7188.6500000000005</v>
      </c>
      <c r="AH18" s="106"/>
      <c r="AI18" s="105">
        <f t="shared" ca="1" si="10"/>
        <v>324374.71537360904</v>
      </c>
      <c r="AJ18" s="106"/>
    </row>
    <row r="19" spans="2:36" x14ac:dyDescent="0.25">
      <c r="B19" s="365">
        <f t="shared" si="0"/>
        <v>7</v>
      </c>
      <c r="C19" s="354">
        <f t="shared" ca="1" si="1"/>
        <v>0</v>
      </c>
      <c r="D19" s="354">
        <f t="shared" si="2"/>
        <v>0</v>
      </c>
      <c r="E19" s="354">
        <f t="shared" si="3"/>
        <v>93500.608943148793</v>
      </c>
      <c r="F19" s="354">
        <f t="shared" ca="1" si="4"/>
        <v>93500.608943148793</v>
      </c>
      <c r="M19" s="86">
        <f t="shared" si="5"/>
        <v>6</v>
      </c>
      <c r="N19" s="105">
        <f>SUMIF('1 Reclamation and O&amp;M costs'!$N$28:$N$37,M19,'1 Reclamation and O&amp;M costs'!$P$28:$P$37)*($S$7+1)</f>
        <v>0</v>
      </c>
      <c r="O19" s="106">
        <f>SUMIF('1 Reclamation and O&amp;M costs'!$M$28:$M$37,"&gt;="&amp;M19,'1 Reclamation and O&amp;M costs'!$R$28:$R$37)*($S$8+1)</f>
        <v>17301.246468092391</v>
      </c>
      <c r="P19" s="86"/>
      <c r="Q19" s="86">
        <f t="shared" si="6"/>
        <v>6</v>
      </c>
      <c r="R19" s="105">
        <f>SUMIF('1 Reclamation and O&amp;M costs'!$J$45:$J$60,'3 WM cash flow'!Q19,'1 Reclamation and O&amp;M costs'!$P$70:$P$85)*(1+$S$8)</f>
        <v>0</v>
      </c>
      <c r="S19" s="106">
        <f>SUMIF('1 Reclamation and O&amp;M costs'!$I$45:$I$60,'3 WM cash flow'!Q19,'1 Reclamation and O&amp;M costs'!$S$70:$S$85)*(1+$S$7)</f>
        <v>0</v>
      </c>
      <c r="T19" s="105">
        <f>(IF('3 WM cash flow'!Q19&lt;=('1 Reclamation and O&amp;M costs'!$O$23-'1 Reclamation and O&amp;M costs'!$O$22),0,SUMIF('1 Reclamation and O&amp;M costs'!$I$45:$I$60,"&gt;="&amp;'3 WM cash flow'!Q19,'1 Reclamation and O&amp;M costs'!$N$70:$N$85))+IF('3 WM cash flow'!Q19&lt;=('1 Reclamation and O&amp;M costs'!$O$23-'1 Reclamation and O&amp;M costs'!$O$22),'1 Reclamation and O&amp;M costs'!$I$89,0))*(1+$S$8)</f>
        <v>2301.2218489075776</v>
      </c>
      <c r="U19" s="106">
        <f>SUMIF('1 Reclamation and O&amp;M costs'!$I$45:$I$60,"&gt;="&amp;Q19,'1 Reclamation and O&amp;M costs'!$Q$70:$Q$85)*(1+$S$8)</f>
        <v>44740.384615384624</v>
      </c>
      <c r="V19" s="86"/>
      <c r="W19" s="86">
        <f t="shared" si="7"/>
        <v>6</v>
      </c>
      <c r="X19" s="105">
        <f ca="1">SUMIF('1 Reclamation and O&amp;M costs'!$L$95:$L$112,'3 WM cash flow'!W19,'1 Reclamation and O&amp;M costs'!P101:$P$112)*(1+$S$7)</f>
        <v>0</v>
      </c>
      <c r="Y19" s="106">
        <f>SUMIF('1 Reclamation and O&amp;M costs'!$K$95:$K$112,'3 WM cash flow'!W19,'1 Reclamation and O&amp;M costs'!$T$95:$T$112)*(1+$S$7)</f>
        <v>0</v>
      </c>
      <c r="Z19" s="105">
        <f>SUMIF('1 Reclamation and O&amp;M costs'!$K$95:$K$112,"&gt;="&amp;M19,'1 Reclamation and O&amp;M costs'!$R$95:$R$112)*(1+$S$8)</f>
        <v>11842.29343</v>
      </c>
      <c r="AA19" s="106"/>
      <c r="AB19" s="86">
        <f t="shared" si="8"/>
        <v>6</v>
      </c>
      <c r="AC19" s="105">
        <f>SUMIF('1 Reclamation and O&amp;M costs'!$H$122:$H$132,'3 WM cash flow'!AB19,'1 Reclamation and O&amp;M costs'!$Q$122:$Q$132)*(1+$S$7)</f>
        <v>0</v>
      </c>
      <c r="AD19" s="106">
        <f>SUMIF('1 Reclamation and O&amp;M costs'!$H$122:$H$132,"&gt;="&amp;AB19,'1 Reclamation and O&amp;M costs'!$O$122:$O$132)*(1+$S$8)</f>
        <v>10126.812580764205</v>
      </c>
      <c r="AE19" s="108"/>
      <c r="AF19" s="86">
        <f t="shared" si="9"/>
        <v>6</v>
      </c>
      <c r="AG19" s="105">
        <f>(IF(AF19&lt;('1 Reclamation and O&amp;M costs'!$O$23-'1 Reclamation and O&amp;M costs'!$O$22),'2 Sampling Cost'!$O$13,IF(AF19&lt;'1 Reclamation and O&amp;M costs'!$O$24,'2 Sampling Cost'!$O$14,'2 Sampling Cost'!$O$15)))*(1+$S$8)</f>
        <v>7188.6500000000005</v>
      </c>
      <c r="AH19" s="106"/>
      <c r="AI19" s="105">
        <f t="shared" ca="1" si="10"/>
        <v>93500.608943148793</v>
      </c>
      <c r="AJ19" s="106"/>
    </row>
    <row r="20" spans="2:36" x14ac:dyDescent="0.25">
      <c r="B20" s="365">
        <f t="shared" si="0"/>
        <v>8</v>
      </c>
      <c r="C20" s="354">
        <f t="shared" ca="1" si="1"/>
        <v>0</v>
      </c>
      <c r="D20" s="354">
        <f t="shared" si="2"/>
        <v>0</v>
      </c>
      <c r="E20" s="354">
        <f t="shared" si="3"/>
        <v>93500.608943148793</v>
      </c>
      <c r="F20" s="354">
        <f t="shared" ca="1" si="4"/>
        <v>93500.608943148793</v>
      </c>
      <c r="M20" s="86">
        <f t="shared" si="5"/>
        <v>7</v>
      </c>
      <c r="N20" s="105">
        <f>SUMIF('1 Reclamation and O&amp;M costs'!$N$28:$N$37,M20,'1 Reclamation and O&amp;M costs'!$P$28:$P$37)*($S$7+1)</f>
        <v>0</v>
      </c>
      <c r="O20" s="106">
        <f>SUMIF('1 Reclamation and O&amp;M costs'!$M$28:$M$37,"&gt;="&amp;M20,'1 Reclamation and O&amp;M costs'!$R$28:$R$37)*($S$8+1)</f>
        <v>17301.246468092391</v>
      </c>
      <c r="P20" s="86"/>
      <c r="Q20" s="86">
        <f t="shared" si="6"/>
        <v>7</v>
      </c>
      <c r="R20" s="105">
        <f>SUMIF('1 Reclamation and O&amp;M costs'!$J$45:$J$60,'3 WM cash flow'!Q20,'1 Reclamation and O&amp;M costs'!$P$70:$P$85)*(1+$S$8)</f>
        <v>0</v>
      </c>
      <c r="S20" s="106">
        <f>SUMIF('1 Reclamation and O&amp;M costs'!$I$45:$I$60,'3 WM cash flow'!Q20,'1 Reclamation and O&amp;M costs'!$S$70:$S$85)*(1+$S$7)</f>
        <v>0</v>
      </c>
      <c r="T20" s="105">
        <f>(IF('3 WM cash flow'!Q20&lt;=('1 Reclamation and O&amp;M costs'!$O$23-'1 Reclamation and O&amp;M costs'!$O$22),0,SUMIF('1 Reclamation and O&amp;M costs'!$I$45:$I$60,"&gt;="&amp;'3 WM cash flow'!Q20,'1 Reclamation and O&amp;M costs'!$N$70:$N$85))+IF('3 WM cash flow'!Q20&lt;=('1 Reclamation and O&amp;M costs'!$O$23-'1 Reclamation and O&amp;M costs'!$O$22),'1 Reclamation and O&amp;M costs'!$I$89,0))*(1+$S$8)</f>
        <v>2301.2218489075776</v>
      </c>
      <c r="U20" s="106">
        <f>SUMIF('1 Reclamation and O&amp;M costs'!$I$45:$I$60,"&gt;="&amp;Q20,'1 Reclamation and O&amp;M costs'!$Q$70:$Q$85)*(1+$S$8)</f>
        <v>44740.384615384624</v>
      </c>
      <c r="V20" s="86"/>
      <c r="W20" s="86">
        <f t="shared" si="7"/>
        <v>7</v>
      </c>
      <c r="X20" s="105">
        <f ca="1">SUMIF('1 Reclamation and O&amp;M costs'!$L$95:$L$112,'3 WM cash flow'!W20,'1 Reclamation and O&amp;M costs'!P102:$P$112)*(1+$S$7)</f>
        <v>0</v>
      </c>
      <c r="Y20" s="106">
        <f>SUMIF('1 Reclamation and O&amp;M costs'!$K$95:$K$112,'3 WM cash flow'!W20,'1 Reclamation and O&amp;M costs'!$T$95:$T$112)*(1+$S$7)</f>
        <v>0</v>
      </c>
      <c r="Z20" s="105">
        <f>SUMIF('1 Reclamation and O&amp;M costs'!$K$95:$K$112,"&gt;="&amp;M20,'1 Reclamation and O&amp;M costs'!$R$95:$R$112)*(1+$S$8)</f>
        <v>11842.29343</v>
      </c>
      <c r="AA20" s="106"/>
      <c r="AB20" s="86">
        <f t="shared" si="8"/>
        <v>7</v>
      </c>
      <c r="AC20" s="105">
        <f>SUMIF('1 Reclamation and O&amp;M costs'!$H$122:$H$132,'3 WM cash flow'!AB20,'1 Reclamation and O&amp;M costs'!$Q$122:$Q$132)*(1+$S$7)</f>
        <v>0</v>
      </c>
      <c r="AD20" s="106">
        <f>SUMIF('1 Reclamation and O&amp;M costs'!$H$122:$H$132,"&gt;="&amp;AB20,'1 Reclamation and O&amp;M costs'!$O$122:$O$132)*(1+$S$8)</f>
        <v>10126.812580764205</v>
      </c>
      <c r="AE20" s="108"/>
      <c r="AF20" s="86">
        <f t="shared" si="9"/>
        <v>7</v>
      </c>
      <c r="AG20" s="105">
        <f>(IF(AF20&lt;('1 Reclamation and O&amp;M costs'!$O$23-'1 Reclamation and O&amp;M costs'!$O$22),'2 Sampling Cost'!$O$13,IF(AF20&lt;'1 Reclamation and O&amp;M costs'!$O$24,'2 Sampling Cost'!$O$14,'2 Sampling Cost'!$O$15)))*(1+$S$8)</f>
        <v>7188.6500000000005</v>
      </c>
      <c r="AH20" s="106"/>
      <c r="AI20" s="105">
        <f t="shared" ca="1" si="10"/>
        <v>93500.608943148793</v>
      </c>
      <c r="AJ20" s="106"/>
    </row>
    <row r="21" spans="2:36" x14ac:dyDescent="0.25">
      <c r="B21" s="365">
        <f t="shared" si="0"/>
        <v>9</v>
      </c>
      <c r="C21" s="354">
        <f t="shared" ca="1" si="1"/>
        <v>0</v>
      </c>
      <c r="D21" s="354">
        <f t="shared" si="2"/>
        <v>0</v>
      </c>
      <c r="E21" s="354">
        <f t="shared" si="3"/>
        <v>93500.608943148793</v>
      </c>
      <c r="F21" s="354">
        <f t="shared" ca="1" si="4"/>
        <v>93500.608943148793</v>
      </c>
      <c r="M21" s="86">
        <f t="shared" si="5"/>
        <v>8</v>
      </c>
      <c r="N21" s="105">
        <f>SUMIF('1 Reclamation and O&amp;M costs'!$N$28:$N$37,M21,'1 Reclamation and O&amp;M costs'!$P$28:$P$37)*($S$7+1)</f>
        <v>0</v>
      </c>
      <c r="O21" s="106">
        <f>SUMIF('1 Reclamation and O&amp;M costs'!$M$28:$M$37,"&gt;="&amp;M21,'1 Reclamation and O&amp;M costs'!$R$28:$R$37)*($S$8+1)</f>
        <v>17301.246468092391</v>
      </c>
      <c r="P21" s="86"/>
      <c r="Q21" s="86">
        <f t="shared" si="6"/>
        <v>8</v>
      </c>
      <c r="R21" s="105">
        <f>SUMIF('1 Reclamation and O&amp;M costs'!$J$45:$J$60,'3 WM cash flow'!Q21,'1 Reclamation and O&amp;M costs'!$P$70:$P$85)*(1+$S$8)</f>
        <v>0</v>
      </c>
      <c r="S21" s="106">
        <f>SUMIF('1 Reclamation and O&amp;M costs'!$I$45:$I$60,'3 WM cash flow'!Q21,'1 Reclamation and O&amp;M costs'!$S$70:$S$85)*(1+$S$7)</f>
        <v>0</v>
      </c>
      <c r="T21" s="105">
        <f>(IF('3 WM cash flow'!Q21&lt;=('1 Reclamation and O&amp;M costs'!$O$23-'1 Reclamation and O&amp;M costs'!$O$22),0,SUMIF('1 Reclamation and O&amp;M costs'!$I$45:$I$60,"&gt;="&amp;'3 WM cash flow'!Q21,'1 Reclamation and O&amp;M costs'!$N$70:$N$85))+IF('3 WM cash flow'!Q21&lt;=('1 Reclamation and O&amp;M costs'!$O$23-'1 Reclamation and O&amp;M costs'!$O$22),'1 Reclamation and O&amp;M costs'!$I$89,0))*(1+$S$8)</f>
        <v>2301.2218489075776</v>
      </c>
      <c r="U21" s="106">
        <f>SUMIF('1 Reclamation and O&amp;M costs'!$I$45:$I$60,"&gt;="&amp;Q21,'1 Reclamation and O&amp;M costs'!$Q$70:$Q$85)*(1+$S$8)</f>
        <v>44740.384615384624</v>
      </c>
      <c r="V21" s="86"/>
      <c r="W21" s="86">
        <f t="shared" si="7"/>
        <v>8</v>
      </c>
      <c r="X21" s="105">
        <f ca="1">SUMIF('1 Reclamation and O&amp;M costs'!$L$95:$L$112,'3 WM cash flow'!W21,'1 Reclamation and O&amp;M costs'!P103:$P$112)*(1+$S$7)</f>
        <v>0</v>
      </c>
      <c r="Y21" s="106">
        <f>SUMIF('1 Reclamation and O&amp;M costs'!$K$95:$K$112,'3 WM cash flow'!W21,'1 Reclamation and O&amp;M costs'!$T$95:$T$112)*(1+$S$7)</f>
        <v>0</v>
      </c>
      <c r="Z21" s="105">
        <f>SUMIF('1 Reclamation and O&amp;M costs'!$K$95:$K$112,"&gt;="&amp;M21,'1 Reclamation and O&amp;M costs'!$R$95:$R$112)*(1+$S$8)</f>
        <v>11842.29343</v>
      </c>
      <c r="AA21" s="106"/>
      <c r="AB21" s="86">
        <f t="shared" si="8"/>
        <v>8</v>
      </c>
      <c r="AC21" s="105">
        <f>SUMIF('1 Reclamation and O&amp;M costs'!$H$122:$H$132,'3 WM cash flow'!AB21,'1 Reclamation and O&amp;M costs'!$Q$122:$Q$132)*(1+$S$7)</f>
        <v>0</v>
      </c>
      <c r="AD21" s="106">
        <f>SUMIF('1 Reclamation and O&amp;M costs'!$H$122:$H$132,"&gt;="&amp;AB21,'1 Reclamation and O&amp;M costs'!$O$122:$O$132)*(1+$S$8)</f>
        <v>10126.812580764205</v>
      </c>
      <c r="AE21" s="108"/>
      <c r="AF21" s="86">
        <f t="shared" si="9"/>
        <v>8</v>
      </c>
      <c r="AG21" s="105">
        <f>(IF(AF21&lt;('1 Reclamation and O&amp;M costs'!$O$23-'1 Reclamation and O&amp;M costs'!$O$22),'2 Sampling Cost'!$O$13,IF(AF21&lt;'1 Reclamation and O&amp;M costs'!$O$24,'2 Sampling Cost'!$O$14,'2 Sampling Cost'!$O$15)))*(1+$S$8)</f>
        <v>7188.6500000000005</v>
      </c>
      <c r="AH21" s="106"/>
      <c r="AI21" s="105">
        <f t="shared" ca="1" si="10"/>
        <v>93500.608943148793</v>
      </c>
      <c r="AJ21" s="106"/>
    </row>
    <row r="22" spans="2:36" x14ac:dyDescent="0.25">
      <c r="B22" s="365">
        <f t="shared" si="0"/>
        <v>10</v>
      </c>
      <c r="C22" s="354">
        <f t="shared" ca="1" si="1"/>
        <v>0</v>
      </c>
      <c r="D22" s="354">
        <f t="shared" si="2"/>
        <v>19612.125</v>
      </c>
      <c r="E22" s="354">
        <f t="shared" si="3"/>
        <v>93500.608943148793</v>
      </c>
      <c r="F22" s="354">
        <f t="shared" ca="1" si="4"/>
        <v>113112.73394314879</v>
      </c>
      <c r="M22" s="86">
        <f t="shared" si="5"/>
        <v>9</v>
      </c>
      <c r="N22" s="105">
        <f>SUMIF('1 Reclamation and O&amp;M costs'!$N$28:$N$37,M22,'1 Reclamation and O&amp;M costs'!$P$28:$P$37)*($S$7+1)</f>
        <v>0</v>
      </c>
      <c r="O22" s="106">
        <f>SUMIF('1 Reclamation and O&amp;M costs'!$M$28:$M$37,"&gt;="&amp;M22,'1 Reclamation and O&amp;M costs'!$R$28:$R$37)*($S$8+1)</f>
        <v>17301.246468092391</v>
      </c>
      <c r="P22" s="86"/>
      <c r="Q22" s="86">
        <f t="shared" si="6"/>
        <v>9</v>
      </c>
      <c r="R22" s="105">
        <f>SUMIF('1 Reclamation and O&amp;M costs'!$J$45:$J$60,'3 WM cash flow'!Q22,'1 Reclamation and O&amp;M costs'!$P$70:$P$85)*(1+$S$8)</f>
        <v>0</v>
      </c>
      <c r="S22" s="106">
        <f>SUMIF('1 Reclamation and O&amp;M costs'!$I$45:$I$60,'3 WM cash flow'!Q22,'1 Reclamation and O&amp;M costs'!$S$70:$S$85)*(1+$S$7)</f>
        <v>0</v>
      </c>
      <c r="T22" s="105">
        <f>(IF('3 WM cash flow'!Q22&lt;=('1 Reclamation and O&amp;M costs'!$O$23-'1 Reclamation and O&amp;M costs'!$O$22),0,SUMIF('1 Reclamation and O&amp;M costs'!$I$45:$I$60,"&gt;="&amp;'3 WM cash flow'!Q22,'1 Reclamation and O&amp;M costs'!$N$70:$N$85))+IF('3 WM cash flow'!Q22&lt;=('1 Reclamation and O&amp;M costs'!$O$23-'1 Reclamation and O&amp;M costs'!$O$22),'1 Reclamation and O&amp;M costs'!$I$89,0))*(1+$S$8)</f>
        <v>2301.2218489075776</v>
      </c>
      <c r="U22" s="106">
        <f>SUMIF('1 Reclamation and O&amp;M costs'!$I$45:$I$60,"&gt;="&amp;Q22,'1 Reclamation and O&amp;M costs'!$Q$70:$Q$85)*(1+$S$8)</f>
        <v>44740.384615384624</v>
      </c>
      <c r="V22" s="86"/>
      <c r="W22" s="86">
        <f t="shared" si="7"/>
        <v>9</v>
      </c>
      <c r="X22" s="105">
        <f ca="1">SUMIF('1 Reclamation and O&amp;M costs'!$L$95:$L$112,'3 WM cash flow'!W22,'1 Reclamation and O&amp;M costs'!P104:$P$112)*(1+$S$7)</f>
        <v>0</v>
      </c>
      <c r="Y22" s="106">
        <f>SUMIF('1 Reclamation and O&amp;M costs'!$K$95:$K$112,'3 WM cash flow'!W22,'1 Reclamation and O&amp;M costs'!$T$95:$T$112)*(1+$S$7)</f>
        <v>19612.125</v>
      </c>
      <c r="Z22" s="105">
        <f>SUMIF('1 Reclamation and O&amp;M costs'!$K$95:$K$112,"&gt;="&amp;M22,'1 Reclamation and O&amp;M costs'!$R$95:$R$112)*(1+$S$8)</f>
        <v>11842.29343</v>
      </c>
      <c r="AA22" s="106"/>
      <c r="AB22" s="86">
        <f t="shared" si="8"/>
        <v>9</v>
      </c>
      <c r="AC22" s="105">
        <f>SUMIF('1 Reclamation and O&amp;M costs'!$H$122:$H$132,'3 WM cash flow'!AB22,'1 Reclamation and O&amp;M costs'!$Q$122:$Q$132)*(1+$S$7)</f>
        <v>0</v>
      </c>
      <c r="AD22" s="106">
        <f>SUMIF('1 Reclamation and O&amp;M costs'!$H$122:$H$132,"&gt;="&amp;AB22,'1 Reclamation and O&amp;M costs'!$O$122:$O$132)*(1+$S$8)</f>
        <v>10126.812580764205</v>
      </c>
      <c r="AE22" s="108"/>
      <c r="AF22" s="86">
        <f t="shared" si="9"/>
        <v>9</v>
      </c>
      <c r="AG22" s="105">
        <f>(IF(AF22&lt;('1 Reclamation and O&amp;M costs'!$O$23-'1 Reclamation and O&amp;M costs'!$O$22),'2 Sampling Cost'!$O$13,IF(AF22&lt;'1 Reclamation and O&amp;M costs'!$O$24,'2 Sampling Cost'!$O$14,'2 Sampling Cost'!$O$15)))*(1+$S$8)</f>
        <v>7188.6500000000005</v>
      </c>
      <c r="AH22" s="106"/>
      <c r="AI22" s="105">
        <f t="shared" ca="1" si="10"/>
        <v>113112.73394314879</v>
      </c>
      <c r="AJ22" s="106"/>
    </row>
    <row r="23" spans="2:36" x14ac:dyDescent="0.25">
      <c r="B23" s="365">
        <f t="shared" si="0"/>
        <v>11</v>
      </c>
      <c r="C23" s="354">
        <f t="shared" ca="1" si="1"/>
        <v>0</v>
      </c>
      <c r="D23" s="354">
        <f t="shared" si="2"/>
        <v>0</v>
      </c>
      <c r="E23" s="354">
        <f t="shared" si="3"/>
        <v>85238.008673858494</v>
      </c>
      <c r="F23" s="354">
        <f t="shared" ca="1" si="4"/>
        <v>85238.008673858494</v>
      </c>
      <c r="M23" s="86">
        <f t="shared" si="5"/>
        <v>10</v>
      </c>
      <c r="N23" s="105">
        <f>SUMIF('1 Reclamation and O&amp;M costs'!$N$28:$N$37,M23,'1 Reclamation and O&amp;M costs'!$P$28:$P$37)*($S$7+1)</f>
        <v>0</v>
      </c>
      <c r="O23" s="106">
        <f>SUMIF('1 Reclamation and O&amp;M costs'!$M$28:$M$37,"&gt;="&amp;M23,'1 Reclamation and O&amp;M costs'!$R$28:$R$37)*($S$8+1)</f>
        <v>17296.032100148248</v>
      </c>
      <c r="P23" s="86"/>
      <c r="Q23" s="86">
        <f t="shared" si="6"/>
        <v>10</v>
      </c>
      <c r="R23" s="105">
        <f>SUMIF('1 Reclamation and O&amp;M costs'!$J$45:$J$60,'3 WM cash flow'!Q23,'1 Reclamation and O&amp;M costs'!$P$70:$P$85)*(1+$S$8)</f>
        <v>0</v>
      </c>
      <c r="S23" s="106">
        <f>SUMIF('1 Reclamation and O&amp;M costs'!$I$45:$I$60,'3 WM cash flow'!Q23,'1 Reclamation and O&amp;M costs'!$S$70:$S$85)*(1+$S$7)</f>
        <v>0</v>
      </c>
      <c r="T23" s="105">
        <f>(IF('3 WM cash flow'!Q23&lt;=('1 Reclamation and O&amp;M costs'!$O$23-'1 Reclamation and O&amp;M costs'!$O$22),0,SUMIF('1 Reclamation and O&amp;M costs'!$I$45:$I$60,"&gt;="&amp;'3 WM cash flow'!Q23,'1 Reclamation and O&amp;M costs'!$N$70:$N$85))+IF('3 WM cash flow'!Q23&lt;=('1 Reclamation and O&amp;M costs'!$O$23-'1 Reclamation and O&amp;M costs'!$O$22),'1 Reclamation and O&amp;M costs'!$I$89,0))*(1+$S$8)</f>
        <v>2301.2218489075776</v>
      </c>
      <c r="U23" s="106">
        <f>SUMIF('1 Reclamation and O&amp;M costs'!$I$45:$I$60,"&gt;="&amp;Q23,'1 Reclamation and O&amp;M costs'!$Q$70:$Q$85)*(1+$S$8)</f>
        <v>37961.538461538468</v>
      </c>
      <c r="V23" s="86"/>
      <c r="W23" s="86">
        <f t="shared" si="7"/>
        <v>10</v>
      </c>
      <c r="X23" s="105">
        <f ca="1">SUMIF('1 Reclamation and O&amp;M costs'!$L$95:$L$112,'3 WM cash flow'!W23,'1 Reclamation and O&amp;M costs'!P105:$P$112)*(1+$S$7)</f>
        <v>0</v>
      </c>
      <c r="Y23" s="106">
        <f>SUMIF('1 Reclamation and O&amp;M costs'!$K$95:$K$112,'3 WM cash flow'!W23,'1 Reclamation and O&amp;M costs'!$T$95:$T$112)*(1+$S$7)</f>
        <v>0</v>
      </c>
      <c r="Z23" s="105">
        <f>SUMIF('1 Reclamation and O&amp;M costs'!$K$95:$K$112,"&gt;="&amp;M23,'1 Reclamation and O&amp;M costs'!$R$95:$R$112)*(1+$S$8)</f>
        <v>10363.753682499999</v>
      </c>
      <c r="AA23" s="106"/>
      <c r="AB23" s="86">
        <f t="shared" si="8"/>
        <v>10</v>
      </c>
      <c r="AC23" s="105">
        <f>SUMIF('1 Reclamation and O&amp;M costs'!$H$122:$H$132,'3 WM cash flow'!AB23,'1 Reclamation and O&amp;M costs'!$Q$122:$Q$132)*(1+$S$7)</f>
        <v>0</v>
      </c>
      <c r="AD23" s="106">
        <f>SUMIF('1 Reclamation and O&amp;M costs'!$H$122:$H$132,"&gt;="&amp;AB23,'1 Reclamation and O&amp;M costs'!$O$122:$O$132)*(1+$S$8)</f>
        <v>10126.812580764205</v>
      </c>
      <c r="AE23" s="108"/>
      <c r="AF23" s="86">
        <f t="shared" si="9"/>
        <v>10</v>
      </c>
      <c r="AG23" s="105">
        <f>(IF(AF23&lt;('1 Reclamation and O&amp;M costs'!$O$23-'1 Reclamation and O&amp;M costs'!$O$22),'2 Sampling Cost'!$O$13,IF(AF23&lt;'1 Reclamation and O&amp;M costs'!$O$24,'2 Sampling Cost'!$O$14,'2 Sampling Cost'!$O$15)))*(1+$S$8)</f>
        <v>7188.6500000000005</v>
      </c>
      <c r="AH23" s="106"/>
      <c r="AI23" s="105">
        <f t="shared" ca="1" si="10"/>
        <v>85238.008673858494</v>
      </c>
      <c r="AJ23" s="106"/>
    </row>
    <row r="24" spans="2:36" x14ac:dyDescent="0.25">
      <c r="B24" s="365">
        <f t="shared" si="0"/>
        <v>12</v>
      </c>
      <c r="C24" s="354">
        <f t="shared" ca="1" si="1"/>
        <v>0</v>
      </c>
      <c r="D24" s="354">
        <f t="shared" si="2"/>
        <v>0</v>
      </c>
      <c r="E24" s="354">
        <f t="shared" si="3"/>
        <v>85238.008673858494</v>
      </c>
      <c r="F24" s="354">
        <f t="shared" ca="1" si="4"/>
        <v>85238.008673858494</v>
      </c>
      <c r="M24" s="86">
        <f t="shared" si="5"/>
        <v>11</v>
      </c>
      <c r="N24" s="105">
        <f>SUMIF('1 Reclamation and O&amp;M costs'!$N$28:$N$37,M24,'1 Reclamation and O&amp;M costs'!$P$28:$P$37)*($S$7+1)</f>
        <v>0</v>
      </c>
      <c r="O24" s="106">
        <f>SUMIF('1 Reclamation and O&amp;M costs'!$M$28:$M$37,"&gt;="&amp;M24,'1 Reclamation and O&amp;M costs'!$R$28:$R$37)*($S$8+1)</f>
        <v>17296.032100148248</v>
      </c>
      <c r="P24" s="86"/>
      <c r="Q24" s="86">
        <f t="shared" si="6"/>
        <v>11</v>
      </c>
      <c r="R24" s="105">
        <f>SUMIF('1 Reclamation and O&amp;M costs'!$J$45:$J$60,'3 WM cash flow'!Q24,'1 Reclamation and O&amp;M costs'!$P$70:$P$85)*(1+$S$8)</f>
        <v>0</v>
      </c>
      <c r="S24" s="106">
        <f>SUMIF('1 Reclamation and O&amp;M costs'!$I$45:$I$60,'3 WM cash flow'!Q24,'1 Reclamation and O&amp;M costs'!$S$70:$S$85)*(1+$S$7)</f>
        <v>0</v>
      </c>
      <c r="T24" s="105">
        <f>(IF('3 WM cash flow'!Q24&lt;=('1 Reclamation and O&amp;M costs'!$O$23-'1 Reclamation and O&amp;M costs'!$O$22),0,SUMIF('1 Reclamation and O&amp;M costs'!$I$45:$I$60,"&gt;="&amp;'3 WM cash flow'!Q24,'1 Reclamation and O&amp;M costs'!$N$70:$N$85))+IF('3 WM cash flow'!Q24&lt;=('1 Reclamation and O&amp;M costs'!$O$23-'1 Reclamation and O&amp;M costs'!$O$22),'1 Reclamation and O&amp;M costs'!$I$89,0))*(1+$S$8)</f>
        <v>2301.2218489075776</v>
      </c>
      <c r="U24" s="106">
        <f>SUMIF('1 Reclamation and O&amp;M costs'!$I$45:$I$60,"&gt;="&amp;Q24,'1 Reclamation and O&amp;M costs'!$Q$70:$Q$85)*(1+$S$8)</f>
        <v>37961.538461538468</v>
      </c>
      <c r="V24" s="86"/>
      <c r="W24" s="86">
        <f t="shared" si="7"/>
        <v>11</v>
      </c>
      <c r="X24" s="105">
        <f ca="1">SUMIF('1 Reclamation and O&amp;M costs'!$L$95:$L$112,'3 WM cash flow'!W24,'1 Reclamation and O&amp;M costs'!P106:$P$112)*(1+$S$7)</f>
        <v>0</v>
      </c>
      <c r="Y24" s="106">
        <f>SUMIF('1 Reclamation and O&amp;M costs'!$K$95:$K$112,'3 WM cash flow'!W24,'1 Reclamation and O&amp;M costs'!$T$95:$T$112)*(1+$S$7)</f>
        <v>0</v>
      </c>
      <c r="Z24" s="105">
        <f>SUMIF('1 Reclamation and O&amp;M costs'!$K$95:$K$112,"&gt;="&amp;M24,'1 Reclamation and O&amp;M costs'!$R$95:$R$112)*(1+$S$8)</f>
        <v>10363.753682499999</v>
      </c>
      <c r="AA24" s="106"/>
      <c r="AB24" s="86">
        <f t="shared" si="8"/>
        <v>11</v>
      </c>
      <c r="AC24" s="105">
        <f>SUMIF('1 Reclamation and O&amp;M costs'!$H$122:$H$132,'3 WM cash flow'!AB24,'1 Reclamation and O&amp;M costs'!$Q$122:$Q$132)*(1+$S$7)</f>
        <v>0</v>
      </c>
      <c r="AD24" s="106">
        <f>SUMIF('1 Reclamation and O&amp;M costs'!$H$122:$H$132,"&gt;="&amp;AB24,'1 Reclamation and O&amp;M costs'!$O$122:$O$132)*(1+$S$8)</f>
        <v>10126.812580764205</v>
      </c>
      <c r="AE24" s="108"/>
      <c r="AF24" s="86">
        <f t="shared" si="9"/>
        <v>11</v>
      </c>
      <c r="AG24" s="105">
        <f>(IF(AF24&lt;('1 Reclamation and O&amp;M costs'!$O$23-'1 Reclamation and O&amp;M costs'!$O$22),'2 Sampling Cost'!$O$13,IF(AF24&lt;'1 Reclamation and O&amp;M costs'!$O$24,'2 Sampling Cost'!$O$14,'2 Sampling Cost'!$O$15)))*(1+$S$8)</f>
        <v>7188.6500000000005</v>
      </c>
      <c r="AH24" s="106"/>
      <c r="AI24" s="105">
        <f t="shared" ca="1" si="10"/>
        <v>85238.008673858494</v>
      </c>
      <c r="AJ24" s="106"/>
    </row>
    <row r="25" spans="2:36" x14ac:dyDescent="0.25">
      <c r="B25" s="365">
        <f t="shared" si="0"/>
        <v>13</v>
      </c>
      <c r="C25" s="354">
        <f t="shared" ca="1" si="1"/>
        <v>0</v>
      </c>
      <c r="D25" s="354">
        <f t="shared" si="2"/>
        <v>153263.99400000001</v>
      </c>
      <c r="E25" s="354">
        <f t="shared" si="3"/>
        <v>81643.683673858497</v>
      </c>
      <c r="F25" s="354">
        <f t="shared" ca="1" si="4"/>
        <v>234907.6776738585</v>
      </c>
      <c r="M25" s="86">
        <f t="shared" si="5"/>
        <v>12</v>
      </c>
      <c r="N25" s="105">
        <f>SUMIF('1 Reclamation and O&amp;M costs'!$N$28:$N$37,M25,'1 Reclamation and O&amp;M costs'!$P$28:$P$37)*($S$7+1)</f>
        <v>0</v>
      </c>
      <c r="O25" s="106">
        <f>SUMIF('1 Reclamation and O&amp;M costs'!$M$28:$M$37,"&gt;="&amp;M25,'1 Reclamation and O&amp;M costs'!$R$28:$R$37)*($S$8+1)</f>
        <v>17296.032100148248</v>
      </c>
      <c r="P25" s="86"/>
      <c r="Q25" s="86">
        <f t="shared" si="6"/>
        <v>12</v>
      </c>
      <c r="R25" s="105">
        <f>SUMIF('1 Reclamation and O&amp;M costs'!$J$45:$J$60,'3 WM cash flow'!Q25,'1 Reclamation and O&amp;M costs'!$P$70:$P$85)*(1+$S$8)</f>
        <v>0</v>
      </c>
      <c r="S25" s="106">
        <f>SUMIF('1 Reclamation and O&amp;M costs'!$I$45:$I$60,'3 WM cash flow'!Q25,'1 Reclamation and O&amp;M costs'!$S$70:$S$85)*(1+$S$7)</f>
        <v>0</v>
      </c>
      <c r="T25" s="105">
        <f>(IF('3 WM cash flow'!Q25&lt;=('1 Reclamation and O&amp;M costs'!$O$23-'1 Reclamation and O&amp;M costs'!$O$22),0,SUMIF('1 Reclamation and O&amp;M costs'!$I$45:$I$60,"&gt;="&amp;'3 WM cash flow'!Q25,'1 Reclamation and O&amp;M costs'!$N$70:$N$85))+IF('3 WM cash flow'!Q25&lt;=('1 Reclamation and O&amp;M costs'!$O$23-'1 Reclamation and O&amp;M costs'!$O$22),'1 Reclamation and O&amp;M costs'!$I$89,0))*(1+$S$8)</f>
        <v>2301.2218489075776</v>
      </c>
      <c r="U25" s="106">
        <f>SUMIF('1 Reclamation and O&amp;M costs'!$I$45:$I$60,"&gt;="&amp;Q25,'1 Reclamation and O&amp;M costs'!$Q$70:$Q$85)*(1+$S$8)</f>
        <v>37961.538461538468</v>
      </c>
      <c r="V25" s="86"/>
      <c r="W25" s="86">
        <f t="shared" si="7"/>
        <v>12</v>
      </c>
      <c r="X25" s="105">
        <f ca="1">SUMIF('1 Reclamation and O&amp;M costs'!$L$95:$L$112,'3 WM cash flow'!W25,'1 Reclamation and O&amp;M costs'!P107:$P$112)*(1+$S$7)</f>
        <v>0</v>
      </c>
      <c r="Y25" s="106">
        <f>SUMIF('1 Reclamation and O&amp;M costs'!$K$95:$K$112,'3 WM cash flow'!W25,'1 Reclamation and O&amp;M costs'!$T$95:$T$112)*(1+$S$7)</f>
        <v>95959.5</v>
      </c>
      <c r="Z25" s="105">
        <f>SUMIF('1 Reclamation and O&amp;M costs'!$K$95:$K$112,"&gt;="&amp;M25,'1 Reclamation and O&amp;M costs'!$R$95:$R$112)*(1+$S$8)</f>
        <v>10363.753682499999</v>
      </c>
      <c r="AA25" s="106"/>
      <c r="AB25" s="86">
        <f t="shared" si="8"/>
        <v>12</v>
      </c>
      <c r="AC25" s="105">
        <f>SUMIF('1 Reclamation and O&amp;M costs'!$H$122:$H$132,'3 WM cash flow'!AB25,'1 Reclamation and O&amp;M costs'!$Q$122:$Q$132)*(1+$S$7)</f>
        <v>57304.493999999999</v>
      </c>
      <c r="AD25" s="106">
        <f>SUMIF('1 Reclamation and O&amp;M costs'!$H$122:$H$132,"&gt;="&amp;AB25,'1 Reclamation and O&amp;M costs'!$O$122:$O$132)*(1+$S$8)</f>
        <v>10126.812580764205</v>
      </c>
      <c r="AE25" s="108"/>
      <c r="AF25" s="86">
        <f t="shared" si="9"/>
        <v>12</v>
      </c>
      <c r="AG25" s="105">
        <f>(IF(AF25&lt;('1 Reclamation and O&amp;M costs'!$O$23-'1 Reclamation and O&amp;M costs'!$O$22),'2 Sampling Cost'!$O$13,IF(AF25&lt;'1 Reclamation and O&amp;M costs'!$O$24,'2 Sampling Cost'!$O$14,'2 Sampling Cost'!$O$15)))*(1+$S$8)</f>
        <v>3594.3250000000003</v>
      </c>
      <c r="AH25" s="106"/>
      <c r="AI25" s="105">
        <f t="shared" ca="1" si="10"/>
        <v>234907.67767385847</v>
      </c>
      <c r="AJ25" s="106"/>
    </row>
    <row r="26" spans="2:36" x14ac:dyDescent="0.25">
      <c r="B26" s="365">
        <f t="shared" si="0"/>
        <v>14</v>
      </c>
      <c r="C26" s="354">
        <f t="shared" ca="1" si="1"/>
        <v>0</v>
      </c>
      <c r="D26" s="354">
        <f t="shared" si="2"/>
        <v>0</v>
      </c>
      <c r="E26" s="354">
        <f t="shared" si="3"/>
        <v>3594.3250000000003</v>
      </c>
      <c r="F26" s="354">
        <f t="shared" ca="1" si="4"/>
        <v>3594.3250000000003</v>
      </c>
      <c r="M26" s="86">
        <f t="shared" si="5"/>
        <v>13</v>
      </c>
      <c r="N26" s="105">
        <f>SUMIF('1 Reclamation and O&amp;M costs'!$N$28:$N$37,M26,'1 Reclamation and O&amp;M costs'!$P$28:$P$37)*($S$7+1)</f>
        <v>0</v>
      </c>
      <c r="O26" s="106">
        <f>SUMIF('1 Reclamation and O&amp;M costs'!$M$28:$M$37,"&gt;="&amp;M26,'1 Reclamation and O&amp;M costs'!$R$28:$R$37)*($S$8+1)</f>
        <v>0</v>
      </c>
      <c r="P26" s="86"/>
      <c r="Q26" s="86">
        <f t="shared" si="6"/>
        <v>13</v>
      </c>
      <c r="R26" s="105">
        <f>SUMIF('1 Reclamation and O&amp;M costs'!$J$45:$J$60,'3 WM cash flow'!Q26,'1 Reclamation and O&amp;M costs'!$P$70:$P$85)*(1+$S$8)</f>
        <v>0</v>
      </c>
      <c r="S26" s="106">
        <f>SUMIF('1 Reclamation and O&amp;M costs'!$I$45:$I$60,'3 WM cash flow'!Q26,'1 Reclamation and O&amp;M costs'!$S$70:$S$85)*(1+$S$7)</f>
        <v>0</v>
      </c>
      <c r="T26" s="105">
        <f>(IF('3 WM cash flow'!Q26&lt;=('1 Reclamation and O&amp;M costs'!$O$23-'1 Reclamation and O&amp;M costs'!$O$22),0,SUMIF('1 Reclamation and O&amp;M costs'!$I$45:$I$60,"&gt;="&amp;'3 WM cash flow'!Q26,'1 Reclamation and O&amp;M costs'!$N$70:$N$85))+IF('3 WM cash flow'!Q26&lt;=('1 Reclamation and O&amp;M costs'!$O$23-'1 Reclamation and O&amp;M costs'!$O$22),'1 Reclamation and O&amp;M costs'!$I$89,0))*(1+$S$8)</f>
        <v>0</v>
      </c>
      <c r="U26" s="106">
        <f>SUMIF('1 Reclamation and O&amp;M costs'!$I$45:$I$60,"&gt;="&amp;Q26,'1 Reclamation and O&amp;M costs'!$Q$70:$Q$85)*(1+$S$8)</f>
        <v>0</v>
      </c>
      <c r="V26" s="86"/>
      <c r="W26" s="86">
        <f t="shared" si="7"/>
        <v>13</v>
      </c>
      <c r="X26" s="105">
        <f ca="1">SUMIF('1 Reclamation and O&amp;M costs'!$L$95:$L$112,'3 WM cash flow'!W26,'1 Reclamation and O&amp;M costs'!P108:$P$112)*(1+$S$7)</f>
        <v>0</v>
      </c>
      <c r="Y26" s="106">
        <f>SUMIF('1 Reclamation and O&amp;M costs'!$K$95:$K$112,'3 WM cash flow'!W26,'1 Reclamation and O&amp;M costs'!$T$95:$T$112)*(1+$S$7)</f>
        <v>0</v>
      </c>
      <c r="Z26" s="105">
        <f>SUMIF('1 Reclamation and O&amp;M costs'!$K$95:$K$112,"&gt;="&amp;M26,'1 Reclamation and O&amp;M costs'!$R$95:$R$112)*(1+$S$8)</f>
        <v>0</v>
      </c>
      <c r="AA26" s="106"/>
      <c r="AB26" s="86">
        <f t="shared" si="8"/>
        <v>13</v>
      </c>
      <c r="AC26" s="105">
        <f>SUMIF('1 Reclamation and O&amp;M costs'!$H$122:$H$132,'3 WM cash flow'!AB26,'1 Reclamation and O&amp;M costs'!$Q$122:$Q$132)*(1+$S$7)</f>
        <v>0</v>
      </c>
      <c r="AD26" s="106">
        <f>SUMIF('1 Reclamation and O&amp;M costs'!$H$122:$H$132,"&gt;="&amp;AB26,'1 Reclamation and O&amp;M costs'!$O$122:$O$132)*(1+$S$8)</f>
        <v>0</v>
      </c>
      <c r="AE26" s="108"/>
      <c r="AF26" s="86">
        <f t="shared" si="9"/>
        <v>13</v>
      </c>
      <c r="AG26" s="105">
        <f>(IF(AF26&lt;('1 Reclamation and O&amp;M costs'!$O$23-'1 Reclamation and O&amp;M costs'!$O$22),'2 Sampling Cost'!$O$13,IF(AF26&lt;'1 Reclamation and O&amp;M costs'!$O$24,'2 Sampling Cost'!$O$14,'2 Sampling Cost'!$O$15)))*(1+$S$8)</f>
        <v>3594.3250000000003</v>
      </c>
      <c r="AH26" s="106"/>
      <c r="AI26" s="105">
        <f t="shared" ca="1" si="10"/>
        <v>3594.3250000000003</v>
      </c>
      <c r="AJ26" s="106"/>
    </row>
    <row r="27" spans="2:36" x14ac:dyDescent="0.25">
      <c r="B27" s="365">
        <f t="shared" si="0"/>
        <v>15</v>
      </c>
      <c r="C27" s="354">
        <f t="shared" ca="1" si="1"/>
        <v>0</v>
      </c>
      <c r="D27" s="354">
        <f t="shared" si="2"/>
        <v>0</v>
      </c>
      <c r="E27" s="354">
        <f t="shared" si="3"/>
        <v>3594.3250000000003</v>
      </c>
      <c r="F27" s="354">
        <f t="shared" ca="1" si="4"/>
        <v>3594.3250000000003</v>
      </c>
      <c r="M27" s="86">
        <f t="shared" si="5"/>
        <v>14</v>
      </c>
      <c r="N27" s="105">
        <f>SUMIF('1 Reclamation and O&amp;M costs'!$N$28:$N$37,M27,'1 Reclamation and O&amp;M costs'!$P$28:$P$37)*($S$7+1)</f>
        <v>0</v>
      </c>
      <c r="O27" s="106">
        <f>SUMIF('1 Reclamation and O&amp;M costs'!$M$28:$M$37,"&gt;="&amp;M27,'1 Reclamation and O&amp;M costs'!$R$28:$R$37)*($S$8+1)</f>
        <v>0</v>
      </c>
      <c r="P27" s="86"/>
      <c r="Q27" s="86">
        <f t="shared" si="6"/>
        <v>14</v>
      </c>
      <c r="R27" s="105">
        <f>SUMIF('1 Reclamation and O&amp;M costs'!$J$45:$J$60,'3 WM cash flow'!Q27,'1 Reclamation and O&amp;M costs'!$P$70:$P$85)*(1+$S$8)</f>
        <v>0</v>
      </c>
      <c r="S27" s="106">
        <f>SUMIF('1 Reclamation and O&amp;M costs'!$I$45:$I$60,'3 WM cash flow'!Q27,'1 Reclamation and O&amp;M costs'!$S$70:$S$85)*(1+$S$7)</f>
        <v>0</v>
      </c>
      <c r="T27" s="105">
        <f>(IF('3 WM cash flow'!Q27&lt;=('1 Reclamation and O&amp;M costs'!$O$23-'1 Reclamation and O&amp;M costs'!$O$22),0,SUMIF('1 Reclamation and O&amp;M costs'!$I$45:$I$60,"&gt;="&amp;'3 WM cash flow'!Q27,'1 Reclamation and O&amp;M costs'!$N$70:$N$85))+IF('3 WM cash flow'!Q27&lt;=('1 Reclamation and O&amp;M costs'!$O$23-'1 Reclamation and O&amp;M costs'!$O$22),'1 Reclamation and O&amp;M costs'!$I$89,0))*(1+$S$8)</f>
        <v>0</v>
      </c>
      <c r="U27" s="106">
        <f>SUMIF('1 Reclamation and O&amp;M costs'!$I$45:$I$60,"&gt;="&amp;Q27,'1 Reclamation and O&amp;M costs'!$Q$70:$Q$85)*(1+$S$8)</f>
        <v>0</v>
      </c>
      <c r="V27" s="86"/>
      <c r="W27" s="86">
        <f t="shared" si="7"/>
        <v>14</v>
      </c>
      <c r="X27" s="105">
        <f ca="1">SUMIF('1 Reclamation and O&amp;M costs'!$L$95:$L$112,'3 WM cash flow'!W27,'1 Reclamation and O&amp;M costs'!P109:$P$112)*(1+$S$7)</f>
        <v>0</v>
      </c>
      <c r="Y27" s="106">
        <f>SUMIF('1 Reclamation and O&amp;M costs'!$K$95:$K$112,'3 WM cash flow'!W27,'1 Reclamation and O&amp;M costs'!$T$95:$T$112)*(1+$S$7)</f>
        <v>0</v>
      </c>
      <c r="Z27" s="105">
        <f>SUMIF('1 Reclamation and O&amp;M costs'!$K$95:$K$112,"&gt;="&amp;M27,'1 Reclamation and O&amp;M costs'!$R$95:$R$112)*(1+$S$8)</f>
        <v>0</v>
      </c>
      <c r="AA27" s="106"/>
      <c r="AB27" s="86">
        <f t="shared" si="8"/>
        <v>14</v>
      </c>
      <c r="AC27" s="105">
        <f>SUMIF('1 Reclamation and O&amp;M costs'!$H$122:$H$132,'3 WM cash flow'!AB27,'1 Reclamation and O&amp;M costs'!$Q$122:$Q$132)*(1+$S$7)</f>
        <v>0</v>
      </c>
      <c r="AD27" s="106">
        <f>SUMIF('1 Reclamation and O&amp;M costs'!$H$122:$H$132,"&gt;="&amp;AB27,'1 Reclamation and O&amp;M costs'!$O$122:$O$132)*(1+$S$8)</f>
        <v>0</v>
      </c>
      <c r="AE27" s="108"/>
      <c r="AF27" s="86">
        <f t="shared" si="9"/>
        <v>14</v>
      </c>
      <c r="AG27" s="105">
        <f>(IF(AF27&lt;('1 Reclamation and O&amp;M costs'!$O$23-'1 Reclamation and O&amp;M costs'!$O$22),'2 Sampling Cost'!$O$13,IF(AF27&lt;'1 Reclamation and O&amp;M costs'!$O$24,'2 Sampling Cost'!$O$14,'2 Sampling Cost'!$O$15)))*(1+$S$8)</f>
        <v>3594.3250000000003</v>
      </c>
      <c r="AH27" s="106"/>
      <c r="AI27" s="105">
        <f t="shared" ca="1" si="10"/>
        <v>3594.3250000000003</v>
      </c>
      <c r="AJ27" s="106"/>
    </row>
    <row r="28" spans="2:36" x14ac:dyDescent="0.25">
      <c r="B28" s="365">
        <f t="shared" si="0"/>
        <v>16</v>
      </c>
      <c r="C28" s="354">
        <f t="shared" ca="1" si="1"/>
        <v>0</v>
      </c>
      <c r="D28" s="354">
        <f t="shared" si="2"/>
        <v>0</v>
      </c>
      <c r="E28" s="354">
        <f t="shared" si="3"/>
        <v>3594.3250000000003</v>
      </c>
      <c r="F28" s="354">
        <f t="shared" ca="1" si="4"/>
        <v>3594.3250000000003</v>
      </c>
      <c r="M28" s="86">
        <f t="shared" si="5"/>
        <v>15</v>
      </c>
      <c r="N28" s="105">
        <f>SUMIF('1 Reclamation and O&amp;M costs'!$N$28:$N$37,M28,'1 Reclamation and O&amp;M costs'!$P$28:$P$37)*($S$7+1)</f>
        <v>0</v>
      </c>
      <c r="O28" s="106">
        <f>SUMIF('1 Reclamation and O&amp;M costs'!$M$28:$M$37,"&gt;="&amp;M28,'1 Reclamation and O&amp;M costs'!$R$28:$R$37)*($S$8+1)</f>
        <v>0</v>
      </c>
      <c r="P28" s="86"/>
      <c r="Q28" s="86">
        <f t="shared" si="6"/>
        <v>15</v>
      </c>
      <c r="R28" s="105">
        <f>SUMIF('1 Reclamation and O&amp;M costs'!$J$45:$J$60,'3 WM cash flow'!Q28,'1 Reclamation and O&amp;M costs'!$P$70:$P$85)*(1+$S$8)</f>
        <v>0</v>
      </c>
      <c r="S28" s="106">
        <f>SUMIF('1 Reclamation and O&amp;M costs'!$I$45:$I$60,'3 WM cash flow'!Q28,'1 Reclamation and O&amp;M costs'!$S$70:$S$85)*(1+$S$7)</f>
        <v>0</v>
      </c>
      <c r="T28" s="105">
        <f>(IF('3 WM cash flow'!Q28&lt;=('1 Reclamation and O&amp;M costs'!$O$23-'1 Reclamation and O&amp;M costs'!$O$22),0,SUMIF('1 Reclamation and O&amp;M costs'!$I$45:$I$60,"&gt;="&amp;'3 WM cash flow'!Q28,'1 Reclamation and O&amp;M costs'!$N$70:$N$85))+IF('3 WM cash flow'!Q28&lt;=('1 Reclamation and O&amp;M costs'!$O$23-'1 Reclamation and O&amp;M costs'!$O$22),'1 Reclamation and O&amp;M costs'!$I$89,0))*(1+$S$8)</f>
        <v>0</v>
      </c>
      <c r="U28" s="106">
        <f>SUMIF('1 Reclamation and O&amp;M costs'!$I$45:$I$60,"&gt;="&amp;Q28,'1 Reclamation and O&amp;M costs'!$Q$70:$Q$85)*(1+$S$8)</f>
        <v>0</v>
      </c>
      <c r="V28" s="86"/>
      <c r="W28" s="86">
        <f t="shared" si="7"/>
        <v>15</v>
      </c>
      <c r="X28" s="105">
        <f ca="1">SUMIF('1 Reclamation and O&amp;M costs'!$L$95:$L$112,'3 WM cash flow'!W28,'1 Reclamation and O&amp;M costs'!P110:$P$112)*(1+$S$7)</f>
        <v>0</v>
      </c>
      <c r="Y28" s="106">
        <f>SUMIF('1 Reclamation and O&amp;M costs'!$K$95:$K$112,'3 WM cash flow'!W28,'1 Reclamation and O&amp;M costs'!$T$95:$T$112)*(1+$S$7)</f>
        <v>0</v>
      </c>
      <c r="Z28" s="105">
        <f>SUMIF('1 Reclamation and O&amp;M costs'!$K$95:$K$112,"&gt;="&amp;M28,'1 Reclamation and O&amp;M costs'!$R$95:$R$112)*(1+$S$8)</f>
        <v>0</v>
      </c>
      <c r="AA28" s="106"/>
      <c r="AB28" s="86">
        <f t="shared" si="8"/>
        <v>15</v>
      </c>
      <c r="AC28" s="105">
        <f>SUMIF('1 Reclamation and O&amp;M costs'!$H$122:$H$132,'3 WM cash flow'!AB28,'1 Reclamation and O&amp;M costs'!$Q$122:$Q$132)*(1+$S$7)</f>
        <v>0</v>
      </c>
      <c r="AD28" s="106">
        <f>SUMIF('1 Reclamation and O&amp;M costs'!$H$122:$H$132,"&gt;="&amp;AB28,'1 Reclamation and O&amp;M costs'!$O$122:$O$132)*(1+$S$8)</f>
        <v>0</v>
      </c>
      <c r="AE28" s="108"/>
      <c r="AF28" s="86">
        <f t="shared" si="9"/>
        <v>15</v>
      </c>
      <c r="AG28" s="105">
        <f>(IF(AF28&lt;('1 Reclamation and O&amp;M costs'!$O$23-'1 Reclamation and O&amp;M costs'!$O$22),'2 Sampling Cost'!$O$13,IF(AF28&lt;'1 Reclamation and O&amp;M costs'!$O$24,'2 Sampling Cost'!$O$14,'2 Sampling Cost'!$O$15)))*(1+$S$8)</f>
        <v>3594.3250000000003</v>
      </c>
      <c r="AH28" s="106"/>
      <c r="AI28" s="105">
        <f t="shared" ca="1" si="10"/>
        <v>3594.3250000000003</v>
      </c>
      <c r="AJ28" s="106"/>
    </row>
    <row r="29" spans="2:36" x14ac:dyDescent="0.25">
      <c r="B29" s="365">
        <f t="shared" si="0"/>
        <v>17</v>
      </c>
      <c r="C29" s="354">
        <f t="shared" ca="1" si="1"/>
        <v>0</v>
      </c>
      <c r="D29" s="354">
        <f t="shared" si="2"/>
        <v>0</v>
      </c>
      <c r="E29" s="354">
        <f t="shared" si="3"/>
        <v>3594.3250000000003</v>
      </c>
      <c r="F29" s="354">
        <f t="shared" ca="1" si="4"/>
        <v>3594.3250000000003</v>
      </c>
      <c r="M29" s="86">
        <f t="shared" si="5"/>
        <v>16</v>
      </c>
      <c r="N29" s="105">
        <f>SUMIF('1 Reclamation and O&amp;M costs'!$N$28:$N$37,M29,'1 Reclamation and O&amp;M costs'!$P$28:$P$37)*($S$7+1)</f>
        <v>0</v>
      </c>
      <c r="O29" s="106">
        <f>SUMIF('1 Reclamation and O&amp;M costs'!$M$28:$M$37,"&gt;="&amp;M29,'1 Reclamation and O&amp;M costs'!$R$28:$R$37)*($S$8+1)</f>
        <v>0</v>
      </c>
      <c r="P29" s="86"/>
      <c r="Q29" s="86">
        <f t="shared" si="6"/>
        <v>16</v>
      </c>
      <c r="R29" s="105">
        <f>SUMIF('1 Reclamation and O&amp;M costs'!$J$45:$J$60,'3 WM cash flow'!Q29,'1 Reclamation and O&amp;M costs'!$P$70:$P$85)*(1+$S$8)</f>
        <v>0</v>
      </c>
      <c r="S29" s="106">
        <f>SUMIF('1 Reclamation and O&amp;M costs'!$I$45:$I$60,'3 WM cash flow'!Q29,'1 Reclamation and O&amp;M costs'!$S$70:$S$85)*(1+$S$7)</f>
        <v>0</v>
      </c>
      <c r="T29" s="105">
        <f>(IF('3 WM cash flow'!Q29&lt;=('1 Reclamation and O&amp;M costs'!$O$23-'1 Reclamation and O&amp;M costs'!$O$22),0,SUMIF('1 Reclamation and O&amp;M costs'!$I$45:$I$60,"&gt;="&amp;'3 WM cash flow'!Q29,'1 Reclamation and O&amp;M costs'!$N$70:$N$85))+IF('3 WM cash flow'!Q29&lt;=('1 Reclamation and O&amp;M costs'!$O$23-'1 Reclamation and O&amp;M costs'!$O$22),'1 Reclamation and O&amp;M costs'!$I$89,0))*(1+$S$8)</f>
        <v>0</v>
      </c>
      <c r="U29" s="106">
        <f>SUMIF('1 Reclamation and O&amp;M costs'!$I$45:$I$60,"&gt;="&amp;Q29,'1 Reclamation and O&amp;M costs'!$Q$70:$Q$85)*(1+$S$8)</f>
        <v>0</v>
      </c>
      <c r="V29" s="86"/>
      <c r="W29" s="86">
        <f t="shared" si="7"/>
        <v>16</v>
      </c>
      <c r="X29" s="105">
        <f ca="1">SUMIF('1 Reclamation and O&amp;M costs'!$L$95:$L$112,'3 WM cash flow'!W29,'1 Reclamation and O&amp;M costs'!P111:$P$112)*(1+$S$7)</f>
        <v>0</v>
      </c>
      <c r="Y29" s="106">
        <f>SUMIF('1 Reclamation and O&amp;M costs'!$K$95:$K$112,'3 WM cash flow'!W29,'1 Reclamation and O&amp;M costs'!$T$95:$T$112)*(1+$S$7)</f>
        <v>0</v>
      </c>
      <c r="Z29" s="105">
        <f>SUMIF('1 Reclamation and O&amp;M costs'!$K$95:$K$112,"&gt;="&amp;M29,'1 Reclamation and O&amp;M costs'!$R$95:$R$112)*(1+$S$8)</f>
        <v>0</v>
      </c>
      <c r="AA29" s="106"/>
      <c r="AB29" s="86">
        <f t="shared" si="8"/>
        <v>16</v>
      </c>
      <c r="AC29" s="105">
        <f>SUMIF('1 Reclamation and O&amp;M costs'!$H$122:$H$132,'3 WM cash flow'!AB29,'1 Reclamation and O&amp;M costs'!$Q$122:$Q$132)*(1+$S$7)</f>
        <v>0</v>
      </c>
      <c r="AD29" s="106">
        <f>SUMIF('1 Reclamation and O&amp;M costs'!$H$122:$H$132,"&gt;="&amp;AB29,'1 Reclamation and O&amp;M costs'!$O$122:$O$132)*(1+$S$8)</f>
        <v>0</v>
      </c>
      <c r="AE29" s="108"/>
      <c r="AF29" s="86">
        <f t="shared" si="9"/>
        <v>16</v>
      </c>
      <c r="AG29" s="105">
        <f>(IF(AF29&lt;('1 Reclamation and O&amp;M costs'!$O$23-'1 Reclamation and O&amp;M costs'!$O$22),'2 Sampling Cost'!$O$13,IF(AF29&lt;'1 Reclamation and O&amp;M costs'!$O$24,'2 Sampling Cost'!$O$14,'2 Sampling Cost'!$O$15)))*(1+$S$8)</f>
        <v>3594.3250000000003</v>
      </c>
      <c r="AH29" s="106"/>
      <c r="AI29" s="105">
        <f t="shared" ca="1" si="10"/>
        <v>3594.3250000000003</v>
      </c>
      <c r="AJ29" s="106"/>
    </row>
    <row r="30" spans="2:36" x14ac:dyDescent="0.25">
      <c r="B30" s="365">
        <f t="shared" si="0"/>
        <v>18</v>
      </c>
      <c r="C30" s="354">
        <f t="shared" ca="1" si="1"/>
        <v>0</v>
      </c>
      <c r="D30" s="354">
        <f t="shared" si="2"/>
        <v>0</v>
      </c>
      <c r="E30" s="354">
        <f t="shared" si="3"/>
        <v>3594.3250000000003</v>
      </c>
      <c r="F30" s="354">
        <f t="shared" ca="1" si="4"/>
        <v>3594.3250000000003</v>
      </c>
      <c r="M30" s="86">
        <f t="shared" si="5"/>
        <v>17</v>
      </c>
      <c r="N30" s="105">
        <f>SUMIF('1 Reclamation and O&amp;M costs'!$N$28:$N$37,M30,'1 Reclamation and O&amp;M costs'!$P$28:$P$37)*($S$7+1)</f>
        <v>0</v>
      </c>
      <c r="O30" s="106">
        <f>SUMIF('1 Reclamation and O&amp;M costs'!$M$28:$M$37,"&gt;="&amp;M30,'1 Reclamation and O&amp;M costs'!$R$28:$R$37)*($S$8+1)</f>
        <v>0</v>
      </c>
      <c r="P30" s="86"/>
      <c r="Q30" s="86">
        <f t="shared" si="6"/>
        <v>17</v>
      </c>
      <c r="R30" s="105">
        <f>SUMIF('1 Reclamation and O&amp;M costs'!$J$45:$J$60,'3 WM cash flow'!Q30,'1 Reclamation and O&amp;M costs'!$P$70:$P$85)*(1+$S$8)</f>
        <v>0</v>
      </c>
      <c r="S30" s="106">
        <f>SUMIF('1 Reclamation and O&amp;M costs'!$I$45:$I$60,'3 WM cash flow'!Q30,'1 Reclamation and O&amp;M costs'!$S$70:$S$85)*(1+$S$7)</f>
        <v>0</v>
      </c>
      <c r="T30" s="105">
        <f>(IF('3 WM cash flow'!Q30&lt;=('1 Reclamation and O&amp;M costs'!$O$23-'1 Reclamation and O&amp;M costs'!$O$22),0,SUMIF('1 Reclamation and O&amp;M costs'!$I$45:$I$60,"&gt;="&amp;'3 WM cash flow'!Q30,'1 Reclamation and O&amp;M costs'!$N$70:$N$85))+IF('3 WM cash flow'!Q30&lt;=('1 Reclamation and O&amp;M costs'!$O$23-'1 Reclamation and O&amp;M costs'!$O$22),'1 Reclamation and O&amp;M costs'!$I$89,0))*(1+$S$8)</f>
        <v>0</v>
      </c>
      <c r="U30" s="106">
        <f>SUMIF('1 Reclamation and O&amp;M costs'!$I$45:$I$60,"&gt;="&amp;Q30,'1 Reclamation and O&amp;M costs'!$Q$70:$Q$85)*(1+$S$8)</f>
        <v>0</v>
      </c>
      <c r="V30" s="86"/>
      <c r="W30" s="86">
        <f t="shared" si="7"/>
        <v>17</v>
      </c>
      <c r="X30" s="105">
        <f ca="1">SUMIF('1 Reclamation and O&amp;M costs'!$L$95:$L$112,'3 WM cash flow'!W30,'1 Reclamation and O&amp;M costs'!P112:$P$112)*(1+$S$7)</f>
        <v>0</v>
      </c>
      <c r="Y30" s="106">
        <f>SUMIF('1 Reclamation and O&amp;M costs'!$K$95:$K$112,'3 WM cash flow'!W30,'1 Reclamation and O&amp;M costs'!$T$95:$T$112)*(1+$S$7)</f>
        <v>0</v>
      </c>
      <c r="Z30" s="105">
        <f>SUMIF('1 Reclamation and O&amp;M costs'!$K$95:$K$112,"&gt;="&amp;M30,'1 Reclamation and O&amp;M costs'!$R$95:$R$112)*(1+$S$8)</f>
        <v>0</v>
      </c>
      <c r="AA30" s="106"/>
      <c r="AB30" s="86">
        <f t="shared" si="8"/>
        <v>17</v>
      </c>
      <c r="AC30" s="105">
        <f>SUMIF('1 Reclamation and O&amp;M costs'!$H$122:$H$132,'3 WM cash flow'!AB30,'1 Reclamation and O&amp;M costs'!$Q$122:$Q$132)*(1+$S$7)</f>
        <v>0</v>
      </c>
      <c r="AD30" s="106">
        <f>SUMIF('1 Reclamation and O&amp;M costs'!$H$122:$H$132,"&gt;="&amp;AB30,'1 Reclamation and O&amp;M costs'!$O$122:$O$132)*(1+$S$8)</f>
        <v>0</v>
      </c>
      <c r="AE30" s="108"/>
      <c r="AF30" s="86">
        <f t="shared" si="9"/>
        <v>17</v>
      </c>
      <c r="AG30" s="105">
        <f>(IF(AF30&lt;('1 Reclamation and O&amp;M costs'!$O$23-'1 Reclamation and O&amp;M costs'!$O$22),'2 Sampling Cost'!$O$13,IF(AF30&lt;'1 Reclamation and O&amp;M costs'!$O$24,'2 Sampling Cost'!$O$14,'2 Sampling Cost'!$O$15)))*(1+$S$8)</f>
        <v>3594.3250000000003</v>
      </c>
      <c r="AH30" s="106"/>
      <c r="AI30" s="105">
        <f t="shared" ca="1" si="10"/>
        <v>3594.3250000000003</v>
      </c>
      <c r="AJ30" s="106"/>
    </row>
    <row r="31" spans="2:36" x14ac:dyDescent="0.25">
      <c r="B31" s="365">
        <f t="shared" si="0"/>
        <v>19</v>
      </c>
      <c r="C31" s="354">
        <f t="shared" ca="1" si="1"/>
        <v>0</v>
      </c>
      <c r="D31" s="354">
        <f t="shared" si="2"/>
        <v>0</v>
      </c>
      <c r="E31" s="354">
        <f t="shared" si="3"/>
        <v>3594.3250000000003</v>
      </c>
      <c r="F31" s="354">
        <f t="shared" ca="1" si="4"/>
        <v>3594.3250000000003</v>
      </c>
      <c r="M31" s="86">
        <f t="shared" si="5"/>
        <v>18</v>
      </c>
      <c r="N31" s="105">
        <f>SUMIF('1 Reclamation and O&amp;M costs'!$N$28:$N$37,M31,'1 Reclamation and O&amp;M costs'!$P$28:$P$37)*($S$7+1)</f>
        <v>0</v>
      </c>
      <c r="O31" s="106">
        <f>SUMIF('1 Reclamation and O&amp;M costs'!$M$28:$M$37,"&gt;="&amp;M31,'1 Reclamation and O&amp;M costs'!$R$28:$R$37)*($S$8+1)</f>
        <v>0</v>
      </c>
      <c r="P31" s="86"/>
      <c r="Q31" s="86">
        <f t="shared" si="6"/>
        <v>18</v>
      </c>
      <c r="R31" s="105">
        <f>SUMIF('1 Reclamation and O&amp;M costs'!$J$45:$J$60,'3 WM cash flow'!Q31,'1 Reclamation and O&amp;M costs'!$P$70:$P$85)*(1+$S$8)</f>
        <v>0</v>
      </c>
      <c r="S31" s="106">
        <f>SUMIF('1 Reclamation and O&amp;M costs'!$I$45:$I$60,'3 WM cash flow'!Q31,'1 Reclamation and O&amp;M costs'!$S$70:$S$85)*(1+$S$7)</f>
        <v>0</v>
      </c>
      <c r="T31" s="105">
        <f>(IF('3 WM cash flow'!Q31&lt;=('1 Reclamation and O&amp;M costs'!$O$23-'1 Reclamation and O&amp;M costs'!$O$22),0,SUMIF('1 Reclamation and O&amp;M costs'!$I$45:$I$60,"&gt;="&amp;'3 WM cash flow'!Q31,'1 Reclamation and O&amp;M costs'!$N$70:$N$85))+IF('3 WM cash flow'!Q31&lt;=('1 Reclamation and O&amp;M costs'!$O$23-'1 Reclamation and O&amp;M costs'!$O$22),'1 Reclamation and O&amp;M costs'!$I$89,0))*(1+$S$8)</f>
        <v>0</v>
      </c>
      <c r="U31" s="106">
        <f>SUMIF('1 Reclamation and O&amp;M costs'!$I$45:$I$60,"&gt;="&amp;Q31,'1 Reclamation and O&amp;M costs'!$Q$70:$Q$85)*(1+$S$8)</f>
        <v>0</v>
      </c>
      <c r="V31" s="86"/>
      <c r="W31" s="86">
        <f t="shared" si="7"/>
        <v>18</v>
      </c>
      <c r="X31" s="105">
        <f ca="1">SUMIF('1 Reclamation and O&amp;M costs'!$L$95:$L$112,'3 WM cash flow'!W31,'1 Reclamation and O&amp;M costs'!P$112:$P113)*(1+$S$7)</f>
        <v>0</v>
      </c>
      <c r="Y31" s="106">
        <f>SUMIF('1 Reclamation and O&amp;M costs'!$K$95:$K$112,'3 WM cash flow'!W31,'1 Reclamation and O&amp;M costs'!$T$95:$T$112)*(1+$S$7)</f>
        <v>0</v>
      </c>
      <c r="Z31" s="105">
        <f>SUMIF('1 Reclamation and O&amp;M costs'!$K$95:$K$112,"&gt;="&amp;M31,'1 Reclamation and O&amp;M costs'!$R$95:$R$112)*(1+$S$8)</f>
        <v>0</v>
      </c>
      <c r="AA31" s="106"/>
      <c r="AB31" s="86">
        <f t="shared" si="8"/>
        <v>18</v>
      </c>
      <c r="AC31" s="105">
        <f>SUMIF('1 Reclamation and O&amp;M costs'!$H$122:$H$132,'3 WM cash flow'!AB31,'1 Reclamation and O&amp;M costs'!$Q$122:$Q$132)*(1+$S$7)</f>
        <v>0</v>
      </c>
      <c r="AD31" s="106">
        <f>SUMIF('1 Reclamation and O&amp;M costs'!$H$122:$H$132,"&gt;="&amp;AB31,'1 Reclamation and O&amp;M costs'!$O$122:$O$132)*(1+$S$8)</f>
        <v>0</v>
      </c>
      <c r="AE31" s="108"/>
      <c r="AF31" s="86">
        <f t="shared" si="9"/>
        <v>18</v>
      </c>
      <c r="AG31" s="105">
        <f>(IF(AF31&lt;('1 Reclamation and O&amp;M costs'!$O$23-'1 Reclamation and O&amp;M costs'!$O$22),'2 Sampling Cost'!$O$13,IF(AF31&lt;'1 Reclamation and O&amp;M costs'!$O$24,'2 Sampling Cost'!$O$14,'2 Sampling Cost'!$O$15)))*(1+$S$8)</f>
        <v>3594.3250000000003</v>
      </c>
      <c r="AH31" s="106"/>
      <c r="AI31" s="105">
        <f t="shared" ca="1" si="10"/>
        <v>3594.3250000000003</v>
      </c>
      <c r="AJ31" s="106"/>
    </row>
    <row r="32" spans="2:36" x14ac:dyDescent="0.25">
      <c r="B32" s="365">
        <f t="shared" si="0"/>
        <v>20</v>
      </c>
      <c r="C32" s="354">
        <f t="shared" ca="1" si="1"/>
        <v>0</v>
      </c>
      <c r="D32" s="354">
        <f t="shared" si="2"/>
        <v>0</v>
      </c>
      <c r="E32" s="354">
        <f t="shared" si="3"/>
        <v>3594.3250000000003</v>
      </c>
      <c r="F32" s="354">
        <f t="shared" ca="1" si="4"/>
        <v>3594.3250000000003</v>
      </c>
      <c r="M32" s="86">
        <f t="shared" si="5"/>
        <v>19</v>
      </c>
      <c r="N32" s="105">
        <f>SUMIF('1 Reclamation and O&amp;M costs'!$N$28:$N$37,M32,'1 Reclamation and O&amp;M costs'!$P$28:$P$37)*($S$7+1)</f>
        <v>0</v>
      </c>
      <c r="O32" s="106">
        <f>SUMIF('1 Reclamation and O&amp;M costs'!$M$28:$M$37,"&gt;="&amp;M32,'1 Reclamation and O&amp;M costs'!$R$28:$R$37)*($S$8+1)</f>
        <v>0</v>
      </c>
      <c r="P32" s="86"/>
      <c r="Q32" s="86">
        <f t="shared" si="6"/>
        <v>19</v>
      </c>
      <c r="R32" s="105">
        <f>SUMIF('1 Reclamation and O&amp;M costs'!$J$45:$J$60,'3 WM cash flow'!Q32,'1 Reclamation and O&amp;M costs'!$P$70:$P$85)*(1+$S$8)</f>
        <v>0</v>
      </c>
      <c r="S32" s="106">
        <f>SUMIF('1 Reclamation and O&amp;M costs'!$I$45:$I$60,'3 WM cash flow'!Q32,'1 Reclamation and O&amp;M costs'!$S$70:$S$85)*(1+$S$7)</f>
        <v>0</v>
      </c>
      <c r="T32" s="105">
        <f>(IF('3 WM cash flow'!Q32&lt;=('1 Reclamation and O&amp;M costs'!$O$23-'1 Reclamation and O&amp;M costs'!$O$22),0,SUMIF('1 Reclamation and O&amp;M costs'!$I$45:$I$60,"&gt;="&amp;'3 WM cash flow'!Q32,'1 Reclamation and O&amp;M costs'!$N$70:$N$85))+IF('3 WM cash flow'!Q32&lt;=('1 Reclamation and O&amp;M costs'!$O$23-'1 Reclamation and O&amp;M costs'!$O$22),'1 Reclamation and O&amp;M costs'!$I$89,0))*(1+$S$8)</f>
        <v>0</v>
      </c>
      <c r="U32" s="106">
        <f>SUMIF('1 Reclamation and O&amp;M costs'!$I$45:$I$60,"&gt;="&amp;Q32,'1 Reclamation and O&amp;M costs'!$Q$70:$Q$85)*(1+$S$8)</f>
        <v>0</v>
      </c>
      <c r="V32" s="86"/>
      <c r="W32" s="86">
        <f t="shared" si="7"/>
        <v>19</v>
      </c>
      <c r="X32" s="105">
        <f ca="1">SUMIF('1 Reclamation and O&amp;M costs'!$L$95:$L$112,'3 WM cash flow'!W32,'1 Reclamation and O&amp;M costs'!P$112:$P114)*(1+$S$7)</f>
        <v>0</v>
      </c>
      <c r="Y32" s="106">
        <f>SUMIF('1 Reclamation and O&amp;M costs'!$K$95:$K$112,'3 WM cash flow'!W32,'1 Reclamation and O&amp;M costs'!$T$95:$T$112)*(1+$S$7)</f>
        <v>0</v>
      </c>
      <c r="Z32" s="105">
        <f>SUMIF('1 Reclamation and O&amp;M costs'!$K$95:$K$112,"&gt;="&amp;M32,'1 Reclamation and O&amp;M costs'!$R$95:$R$112)*(1+$S$8)</f>
        <v>0</v>
      </c>
      <c r="AA32" s="106"/>
      <c r="AB32" s="86">
        <f t="shared" si="8"/>
        <v>19</v>
      </c>
      <c r="AC32" s="105">
        <f>SUMIF('1 Reclamation and O&amp;M costs'!$H$122:$H$132,'3 WM cash flow'!AB32,'1 Reclamation and O&amp;M costs'!$Q$122:$Q$132)*(1+$S$7)</f>
        <v>0</v>
      </c>
      <c r="AD32" s="106">
        <f>SUMIF('1 Reclamation and O&amp;M costs'!$H$122:$H$132,"&gt;="&amp;AB32,'1 Reclamation and O&amp;M costs'!$O$122:$O$132)*(1+$S$8)</f>
        <v>0</v>
      </c>
      <c r="AE32" s="108"/>
      <c r="AF32" s="86">
        <f t="shared" si="9"/>
        <v>19</v>
      </c>
      <c r="AG32" s="105">
        <f>(IF(AF32&lt;('1 Reclamation and O&amp;M costs'!$O$23-'1 Reclamation and O&amp;M costs'!$O$22),'2 Sampling Cost'!$O$13,IF(AF32&lt;'1 Reclamation and O&amp;M costs'!$O$24,'2 Sampling Cost'!$O$14,'2 Sampling Cost'!$O$15)))*(1+$S$8)</f>
        <v>3594.3250000000003</v>
      </c>
      <c r="AH32" s="106"/>
      <c r="AI32" s="105">
        <f t="shared" ca="1" si="10"/>
        <v>3594.3250000000003</v>
      </c>
      <c r="AJ32" s="106"/>
    </row>
    <row r="33" spans="2:36" x14ac:dyDescent="0.25">
      <c r="B33" s="365">
        <f t="shared" si="0"/>
        <v>21</v>
      </c>
      <c r="C33" s="354">
        <f t="shared" ca="1" si="1"/>
        <v>0</v>
      </c>
      <c r="D33" s="354">
        <f t="shared" si="2"/>
        <v>0</v>
      </c>
      <c r="E33" s="354">
        <f t="shared" si="3"/>
        <v>3594.3250000000003</v>
      </c>
      <c r="F33" s="354">
        <f t="shared" ca="1" si="4"/>
        <v>3594.3250000000003</v>
      </c>
      <c r="M33" s="86">
        <f t="shared" si="5"/>
        <v>20</v>
      </c>
      <c r="N33" s="105">
        <f>SUMIF('1 Reclamation and O&amp;M costs'!$N$28:$N$37,M33,'1 Reclamation and O&amp;M costs'!$P$28:$P$37)*($S$7+1)</f>
        <v>0</v>
      </c>
      <c r="O33" s="106">
        <f>SUMIF('1 Reclamation and O&amp;M costs'!$M$28:$M$37,"&gt;="&amp;M33,'1 Reclamation and O&amp;M costs'!$R$28:$R$37)*($S$8+1)</f>
        <v>0</v>
      </c>
      <c r="P33" s="86"/>
      <c r="Q33" s="86">
        <f t="shared" si="6"/>
        <v>20</v>
      </c>
      <c r="R33" s="105">
        <f>SUMIF('1 Reclamation and O&amp;M costs'!$J$45:$J$60,'3 WM cash flow'!Q33,'1 Reclamation and O&amp;M costs'!$P$70:$P$85)*(1+$S$8)</f>
        <v>0</v>
      </c>
      <c r="S33" s="106">
        <f>SUMIF('1 Reclamation and O&amp;M costs'!$I$45:$I$60,'3 WM cash flow'!Q33,'1 Reclamation and O&amp;M costs'!$S$70:$S$85)*(1+$S$7)</f>
        <v>0</v>
      </c>
      <c r="T33" s="105">
        <f>(IF('3 WM cash flow'!Q33&lt;=('1 Reclamation and O&amp;M costs'!$O$23-'1 Reclamation and O&amp;M costs'!$O$22),0,SUMIF('1 Reclamation and O&amp;M costs'!$I$45:$I$60,"&gt;="&amp;'3 WM cash flow'!Q33,'1 Reclamation and O&amp;M costs'!$N$70:$N$85))+IF('3 WM cash flow'!Q33&lt;=('1 Reclamation and O&amp;M costs'!$O$23-'1 Reclamation and O&amp;M costs'!$O$22),'1 Reclamation and O&amp;M costs'!$I$89,0))*(1+$S$8)</f>
        <v>0</v>
      </c>
      <c r="U33" s="106">
        <f>SUMIF('1 Reclamation and O&amp;M costs'!$I$45:$I$60,"&gt;="&amp;Q33,'1 Reclamation and O&amp;M costs'!$Q$70:$Q$85)*(1+$S$8)</f>
        <v>0</v>
      </c>
      <c r="V33" s="86"/>
      <c r="W33" s="86">
        <f t="shared" si="7"/>
        <v>20</v>
      </c>
      <c r="X33" s="105">
        <f ca="1">SUMIF('1 Reclamation and O&amp;M costs'!$L$95:$L$112,'3 WM cash flow'!W33,'1 Reclamation and O&amp;M costs'!P$112:$P115)*(1+$S$7)</f>
        <v>0</v>
      </c>
      <c r="Y33" s="106">
        <f>SUMIF('1 Reclamation and O&amp;M costs'!$K$95:$K$112,'3 WM cash flow'!W33,'1 Reclamation and O&amp;M costs'!$T$95:$T$112)*(1+$S$7)</f>
        <v>0</v>
      </c>
      <c r="Z33" s="105">
        <f>SUMIF('1 Reclamation and O&amp;M costs'!$K$95:$K$112,"&gt;="&amp;M33,'1 Reclamation and O&amp;M costs'!$R$95:$R$112)*(1+$S$8)</f>
        <v>0</v>
      </c>
      <c r="AA33" s="106"/>
      <c r="AB33" s="86">
        <f t="shared" si="8"/>
        <v>20</v>
      </c>
      <c r="AC33" s="105">
        <f>SUMIF('1 Reclamation and O&amp;M costs'!$H$122:$H$132,'3 WM cash flow'!AB33,'1 Reclamation and O&amp;M costs'!$Q$122:$Q$132)*(1+$S$7)</f>
        <v>0</v>
      </c>
      <c r="AD33" s="106">
        <f>SUMIF('1 Reclamation and O&amp;M costs'!$H$122:$H$132,"&gt;="&amp;AB33,'1 Reclamation and O&amp;M costs'!$O$122:$O$132)*(1+$S$8)</f>
        <v>0</v>
      </c>
      <c r="AE33" s="108"/>
      <c r="AF33" s="86">
        <f t="shared" si="9"/>
        <v>20</v>
      </c>
      <c r="AG33" s="105">
        <f>(IF(AF33&lt;('1 Reclamation and O&amp;M costs'!$O$23-'1 Reclamation and O&amp;M costs'!$O$22),'2 Sampling Cost'!$O$13,IF(AF33&lt;'1 Reclamation and O&amp;M costs'!$O$24,'2 Sampling Cost'!$O$14,'2 Sampling Cost'!$O$15)))*(1+$S$8)</f>
        <v>3594.3250000000003</v>
      </c>
      <c r="AH33" s="106"/>
      <c r="AI33" s="105">
        <f t="shared" ca="1" si="10"/>
        <v>3594.3250000000003</v>
      </c>
      <c r="AJ33" s="106"/>
    </row>
    <row r="34" spans="2:36" x14ac:dyDescent="0.25">
      <c r="B34" s="365">
        <f t="shared" si="0"/>
        <v>22</v>
      </c>
      <c r="C34" s="354">
        <f t="shared" ca="1" si="1"/>
        <v>0</v>
      </c>
      <c r="D34" s="354">
        <f t="shared" si="2"/>
        <v>0</v>
      </c>
      <c r="E34" s="354">
        <f t="shared" si="3"/>
        <v>3594.3250000000003</v>
      </c>
      <c r="F34" s="354">
        <f t="shared" ca="1" si="4"/>
        <v>3594.3250000000003</v>
      </c>
      <c r="M34" s="86">
        <f t="shared" si="5"/>
        <v>21</v>
      </c>
      <c r="N34" s="105">
        <f>SUMIF('1 Reclamation and O&amp;M costs'!$N$28:$N$37,M34,'1 Reclamation and O&amp;M costs'!$P$28:$P$37)*($S$7+1)</f>
        <v>0</v>
      </c>
      <c r="O34" s="106">
        <f>SUMIF('1 Reclamation and O&amp;M costs'!$M$28:$M$37,"&gt;="&amp;M34,'1 Reclamation and O&amp;M costs'!$R$28:$R$37)*($S$8+1)</f>
        <v>0</v>
      </c>
      <c r="P34" s="86"/>
      <c r="Q34" s="86">
        <f t="shared" si="6"/>
        <v>21</v>
      </c>
      <c r="R34" s="105">
        <f>SUMIF('1 Reclamation and O&amp;M costs'!$J$45:$J$60,'3 WM cash flow'!Q34,'1 Reclamation and O&amp;M costs'!$P$70:$P$85)*(1+$S$8)</f>
        <v>0</v>
      </c>
      <c r="S34" s="106">
        <f>SUMIF('1 Reclamation and O&amp;M costs'!$I$45:$I$60,'3 WM cash flow'!Q34,'1 Reclamation and O&amp;M costs'!$S$70:$S$85)*(1+$S$7)</f>
        <v>0</v>
      </c>
      <c r="T34" s="105">
        <f>(IF('3 WM cash flow'!Q34&lt;=('1 Reclamation and O&amp;M costs'!$O$23-'1 Reclamation and O&amp;M costs'!$O$22),0,SUMIF('1 Reclamation and O&amp;M costs'!$I$45:$I$60,"&gt;="&amp;'3 WM cash flow'!Q34,'1 Reclamation and O&amp;M costs'!$N$70:$N$85))+IF('3 WM cash flow'!Q34&lt;=('1 Reclamation and O&amp;M costs'!$O$23-'1 Reclamation and O&amp;M costs'!$O$22),'1 Reclamation and O&amp;M costs'!$I$89,0))*(1+$S$8)</f>
        <v>0</v>
      </c>
      <c r="U34" s="106">
        <f>SUMIF('1 Reclamation and O&amp;M costs'!$I$45:$I$60,"&gt;="&amp;Q34,'1 Reclamation and O&amp;M costs'!$Q$70:$Q$85)*(1+$S$8)</f>
        <v>0</v>
      </c>
      <c r="V34" s="86"/>
      <c r="W34" s="86">
        <f t="shared" si="7"/>
        <v>21</v>
      </c>
      <c r="X34" s="105">
        <f ca="1">SUMIF('1 Reclamation and O&amp;M costs'!$L$95:$L$112,'3 WM cash flow'!W34,'1 Reclamation and O&amp;M costs'!P$112:$P116)*(1+$S$7)</f>
        <v>0</v>
      </c>
      <c r="Y34" s="106">
        <f>SUMIF('1 Reclamation and O&amp;M costs'!$K$95:$K$112,'3 WM cash flow'!W34,'1 Reclamation and O&amp;M costs'!$T$95:$T$112)*(1+$S$7)</f>
        <v>0</v>
      </c>
      <c r="Z34" s="105">
        <f>SUMIF('1 Reclamation and O&amp;M costs'!$K$95:$K$112,"&gt;="&amp;M34,'1 Reclamation and O&amp;M costs'!$R$95:$R$112)*(1+$S$8)</f>
        <v>0</v>
      </c>
      <c r="AA34" s="106"/>
      <c r="AB34" s="86">
        <f t="shared" si="8"/>
        <v>21</v>
      </c>
      <c r="AC34" s="105">
        <f>SUMIF('1 Reclamation and O&amp;M costs'!$H$122:$H$132,'3 WM cash flow'!AB34,'1 Reclamation and O&amp;M costs'!$Q$122:$Q$132)*(1+$S$7)</f>
        <v>0</v>
      </c>
      <c r="AD34" s="106">
        <f>SUMIF('1 Reclamation and O&amp;M costs'!$H$122:$H$132,"&gt;="&amp;AB34,'1 Reclamation and O&amp;M costs'!$O$122:$O$132)*(1+$S$8)</f>
        <v>0</v>
      </c>
      <c r="AE34" s="108"/>
      <c r="AF34" s="86">
        <f t="shared" si="9"/>
        <v>21</v>
      </c>
      <c r="AG34" s="105">
        <f>(IF(AF34&lt;('1 Reclamation and O&amp;M costs'!$O$23-'1 Reclamation and O&amp;M costs'!$O$22),'2 Sampling Cost'!$O$13,IF(AF34&lt;'1 Reclamation and O&amp;M costs'!$O$24,'2 Sampling Cost'!$O$14,'2 Sampling Cost'!$O$15)))*(1+$S$8)</f>
        <v>3594.3250000000003</v>
      </c>
      <c r="AH34" s="106"/>
      <c r="AI34" s="105">
        <f t="shared" ca="1" si="10"/>
        <v>3594.3250000000003</v>
      </c>
      <c r="AJ34" s="106"/>
    </row>
    <row r="35" spans="2:36" x14ac:dyDescent="0.25">
      <c r="B35" s="365">
        <f t="shared" si="0"/>
        <v>23</v>
      </c>
      <c r="C35" s="354">
        <f t="shared" ca="1" si="1"/>
        <v>0</v>
      </c>
      <c r="D35" s="354">
        <f t="shared" si="2"/>
        <v>0</v>
      </c>
      <c r="E35" s="354">
        <f t="shared" si="3"/>
        <v>3594.3250000000003</v>
      </c>
      <c r="F35" s="354">
        <f t="shared" ca="1" si="4"/>
        <v>3594.3250000000003</v>
      </c>
      <c r="M35" s="86">
        <f t="shared" si="5"/>
        <v>22</v>
      </c>
      <c r="N35" s="105">
        <f>SUMIF('1 Reclamation and O&amp;M costs'!$N$28:$N$37,M35,'1 Reclamation and O&amp;M costs'!$P$28:$P$37)*($S$7+1)</f>
        <v>0</v>
      </c>
      <c r="O35" s="106">
        <f>SUMIF('1 Reclamation and O&amp;M costs'!$M$28:$M$37,"&gt;="&amp;M35,'1 Reclamation and O&amp;M costs'!$R$28:$R$37)*($S$8+1)</f>
        <v>0</v>
      </c>
      <c r="P35" s="86"/>
      <c r="Q35" s="86">
        <f t="shared" si="6"/>
        <v>22</v>
      </c>
      <c r="R35" s="105">
        <f>SUMIF('1 Reclamation and O&amp;M costs'!$J$45:$J$60,'3 WM cash flow'!Q35,'1 Reclamation and O&amp;M costs'!$P$70:$P$85)*(1+$S$8)</f>
        <v>0</v>
      </c>
      <c r="S35" s="106">
        <f>SUMIF('1 Reclamation and O&amp;M costs'!$I$45:$I$60,'3 WM cash flow'!Q35,'1 Reclamation and O&amp;M costs'!$S$70:$S$85)*(1+$S$7)</f>
        <v>0</v>
      </c>
      <c r="T35" s="105">
        <f>(IF('3 WM cash flow'!Q35&lt;=('1 Reclamation and O&amp;M costs'!$O$23-'1 Reclamation and O&amp;M costs'!$O$22),0,SUMIF('1 Reclamation and O&amp;M costs'!$I$45:$I$60,"&gt;="&amp;'3 WM cash flow'!Q35,'1 Reclamation and O&amp;M costs'!$N$70:$N$85))+IF('3 WM cash flow'!Q35&lt;=('1 Reclamation and O&amp;M costs'!$O$23-'1 Reclamation and O&amp;M costs'!$O$22),'1 Reclamation and O&amp;M costs'!$I$89,0))*(1+$S$8)</f>
        <v>0</v>
      </c>
      <c r="U35" s="106">
        <f>SUMIF('1 Reclamation and O&amp;M costs'!$I$45:$I$60,"&gt;="&amp;Q35,'1 Reclamation and O&amp;M costs'!$Q$70:$Q$85)*(1+$S$8)</f>
        <v>0</v>
      </c>
      <c r="V35" s="86"/>
      <c r="W35" s="86">
        <f t="shared" si="7"/>
        <v>22</v>
      </c>
      <c r="X35" s="105">
        <f ca="1">SUMIF('1 Reclamation and O&amp;M costs'!$L$95:$L$112,'3 WM cash flow'!W35,'1 Reclamation and O&amp;M costs'!P$112:$P117)*(1+$S$7)</f>
        <v>0</v>
      </c>
      <c r="Y35" s="106">
        <f>SUMIF('1 Reclamation and O&amp;M costs'!$K$95:$K$112,'3 WM cash flow'!W35,'1 Reclamation and O&amp;M costs'!$T$95:$T$112)*(1+$S$7)</f>
        <v>0</v>
      </c>
      <c r="Z35" s="105">
        <f>SUMIF('1 Reclamation and O&amp;M costs'!$K$95:$K$112,"&gt;="&amp;M35,'1 Reclamation and O&amp;M costs'!$R$95:$R$112)*(1+$S$8)</f>
        <v>0</v>
      </c>
      <c r="AA35" s="106"/>
      <c r="AB35" s="86">
        <f t="shared" si="8"/>
        <v>22</v>
      </c>
      <c r="AC35" s="105">
        <f>SUMIF('1 Reclamation and O&amp;M costs'!$H$122:$H$132,'3 WM cash flow'!AB35,'1 Reclamation and O&amp;M costs'!$Q$122:$Q$132)*(1+$S$7)</f>
        <v>0</v>
      </c>
      <c r="AD35" s="106">
        <f>SUMIF('1 Reclamation and O&amp;M costs'!$H$122:$H$132,"&gt;="&amp;AB35,'1 Reclamation and O&amp;M costs'!$O$122:$O$132)*(1+$S$8)</f>
        <v>0</v>
      </c>
      <c r="AE35" s="108"/>
      <c r="AF35" s="86">
        <f t="shared" si="9"/>
        <v>22</v>
      </c>
      <c r="AG35" s="105">
        <f>(IF(AF35&lt;('1 Reclamation and O&amp;M costs'!$O$23-'1 Reclamation and O&amp;M costs'!$O$22),'2 Sampling Cost'!$O$13,IF(AF35&lt;'1 Reclamation and O&amp;M costs'!$O$24,'2 Sampling Cost'!$O$14,'2 Sampling Cost'!$O$15)))*(1+$S$8)</f>
        <v>3594.3250000000003</v>
      </c>
      <c r="AH35" s="106"/>
      <c r="AI35" s="105">
        <f t="shared" ca="1" si="10"/>
        <v>3594.3250000000003</v>
      </c>
      <c r="AJ35" s="106"/>
    </row>
    <row r="36" spans="2:36" x14ac:dyDescent="0.25">
      <c r="B36" s="365">
        <f t="shared" si="0"/>
        <v>24</v>
      </c>
      <c r="C36" s="354">
        <f t="shared" ca="1" si="1"/>
        <v>0</v>
      </c>
      <c r="D36" s="354">
        <f t="shared" si="2"/>
        <v>0</v>
      </c>
      <c r="E36" s="354">
        <f t="shared" si="3"/>
        <v>3594.3250000000003</v>
      </c>
      <c r="F36" s="354">
        <f t="shared" ca="1" si="4"/>
        <v>3594.3250000000003</v>
      </c>
      <c r="M36" s="86">
        <f t="shared" si="5"/>
        <v>23</v>
      </c>
      <c r="N36" s="105">
        <f>SUMIF('1 Reclamation and O&amp;M costs'!$N$28:$N$37,M36,'1 Reclamation and O&amp;M costs'!$P$28:$P$37)*($S$7+1)</f>
        <v>0</v>
      </c>
      <c r="O36" s="106">
        <f>SUMIF('1 Reclamation and O&amp;M costs'!$M$28:$M$37,"&gt;="&amp;M36,'1 Reclamation and O&amp;M costs'!$R$28:$R$37)*($S$8+1)</f>
        <v>0</v>
      </c>
      <c r="P36" s="86"/>
      <c r="Q36" s="86">
        <f t="shared" si="6"/>
        <v>23</v>
      </c>
      <c r="R36" s="105">
        <f>SUMIF('1 Reclamation and O&amp;M costs'!$J$45:$J$60,'3 WM cash flow'!Q36,'1 Reclamation and O&amp;M costs'!$P$70:$P$85)*(1+$S$8)</f>
        <v>0</v>
      </c>
      <c r="S36" s="106">
        <f>SUMIF('1 Reclamation and O&amp;M costs'!$I$45:$I$60,'3 WM cash flow'!Q36,'1 Reclamation and O&amp;M costs'!$S$70:$S$85)*(1+$S$7)</f>
        <v>0</v>
      </c>
      <c r="T36" s="105">
        <f>(IF('3 WM cash flow'!Q36&lt;=('1 Reclamation and O&amp;M costs'!$O$23-'1 Reclamation and O&amp;M costs'!$O$22),0,SUMIF('1 Reclamation and O&amp;M costs'!$I$45:$I$60,"&gt;="&amp;'3 WM cash flow'!Q36,'1 Reclamation and O&amp;M costs'!$N$70:$N$85))+IF('3 WM cash flow'!Q36&lt;=('1 Reclamation and O&amp;M costs'!$O$23-'1 Reclamation and O&amp;M costs'!$O$22),'1 Reclamation and O&amp;M costs'!$I$89,0))*(1+$S$8)</f>
        <v>0</v>
      </c>
      <c r="U36" s="106">
        <f>SUMIF('1 Reclamation and O&amp;M costs'!$I$45:$I$60,"&gt;="&amp;Q36,'1 Reclamation and O&amp;M costs'!$Q$70:$Q$85)*(1+$S$8)</f>
        <v>0</v>
      </c>
      <c r="V36" s="86"/>
      <c r="W36" s="86">
        <f t="shared" si="7"/>
        <v>23</v>
      </c>
      <c r="X36" s="105">
        <f ca="1">SUMIF('1 Reclamation and O&amp;M costs'!$L$95:$L$112,'3 WM cash flow'!W36,'1 Reclamation and O&amp;M costs'!P$112:$P118)*(1+$S$7)</f>
        <v>0</v>
      </c>
      <c r="Y36" s="106">
        <f>SUMIF('1 Reclamation and O&amp;M costs'!$K$95:$K$112,'3 WM cash flow'!W36,'1 Reclamation and O&amp;M costs'!$T$95:$T$112)*(1+$S$7)</f>
        <v>0</v>
      </c>
      <c r="Z36" s="105">
        <f>SUMIF('1 Reclamation and O&amp;M costs'!$K$95:$K$112,"&gt;="&amp;M36,'1 Reclamation and O&amp;M costs'!$R$95:$R$112)*(1+$S$8)</f>
        <v>0</v>
      </c>
      <c r="AA36" s="106"/>
      <c r="AB36" s="86">
        <f t="shared" si="8"/>
        <v>23</v>
      </c>
      <c r="AC36" s="105">
        <f>SUMIF('1 Reclamation and O&amp;M costs'!$H$122:$H$132,'3 WM cash flow'!AB36,'1 Reclamation and O&amp;M costs'!$Q$122:$Q$132)*(1+$S$7)</f>
        <v>0</v>
      </c>
      <c r="AD36" s="106">
        <f>SUMIF('1 Reclamation and O&amp;M costs'!$H$122:$H$132,"&gt;="&amp;AB36,'1 Reclamation and O&amp;M costs'!$O$122:$O$132)*(1+$S$8)</f>
        <v>0</v>
      </c>
      <c r="AE36" s="108"/>
      <c r="AF36" s="86">
        <f t="shared" si="9"/>
        <v>23</v>
      </c>
      <c r="AG36" s="105">
        <f>(IF(AF36&lt;('1 Reclamation and O&amp;M costs'!$O$23-'1 Reclamation and O&amp;M costs'!$O$22),'2 Sampling Cost'!$O$13,IF(AF36&lt;'1 Reclamation and O&amp;M costs'!$O$24,'2 Sampling Cost'!$O$14,'2 Sampling Cost'!$O$15)))*(1+$S$8)</f>
        <v>3594.3250000000003</v>
      </c>
      <c r="AH36" s="106"/>
      <c r="AI36" s="105">
        <f t="shared" ca="1" si="10"/>
        <v>3594.3250000000003</v>
      </c>
      <c r="AJ36" s="106"/>
    </row>
    <row r="37" spans="2:36" x14ac:dyDescent="0.25">
      <c r="B37" s="365">
        <f t="shared" si="0"/>
        <v>25</v>
      </c>
      <c r="C37" s="354">
        <f t="shared" ca="1" si="1"/>
        <v>0</v>
      </c>
      <c r="D37" s="354">
        <f t="shared" si="2"/>
        <v>0</v>
      </c>
      <c r="E37" s="354">
        <f t="shared" si="3"/>
        <v>3594.3250000000003</v>
      </c>
      <c r="F37" s="354">
        <f t="shared" ca="1" si="4"/>
        <v>3594.3250000000003</v>
      </c>
      <c r="M37" s="86">
        <f t="shared" si="5"/>
        <v>24</v>
      </c>
      <c r="N37" s="105">
        <f>SUMIF('1 Reclamation and O&amp;M costs'!$N$28:$N$37,M37,'1 Reclamation and O&amp;M costs'!$P$28:$P$37)*($S$7+1)</f>
        <v>0</v>
      </c>
      <c r="O37" s="106">
        <f>SUMIF('1 Reclamation and O&amp;M costs'!$M$28:$M$37,"&gt;="&amp;M37,'1 Reclamation and O&amp;M costs'!$R$28:$R$37)*($S$8+1)</f>
        <v>0</v>
      </c>
      <c r="P37" s="86"/>
      <c r="Q37" s="86">
        <f t="shared" si="6"/>
        <v>24</v>
      </c>
      <c r="R37" s="105">
        <f>SUMIF('1 Reclamation and O&amp;M costs'!$J$45:$J$60,'3 WM cash flow'!Q37,'1 Reclamation and O&amp;M costs'!$P$70:$P$85)*(1+$S$8)</f>
        <v>0</v>
      </c>
      <c r="S37" s="106">
        <f>SUMIF('1 Reclamation and O&amp;M costs'!$I$45:$I$60,'3 WM cash flow'!Q37,'1 Reclamation and O&amp;M costs'!$S$70:$S$85)*(1+$S$7)</f>
        <v>0</v>
      </c>
      <c r="T37" s="105">
        <f>(IF('3 WM cash flow'!Q37&lt;=('1 Reclamation and O&amp;M costs'!$O$23-'1 Reclamation and O&amp;M costs'!$O$22),0,SUMIF('1 Reclamation and O&amp;M costs'!$I$45:$I$60,"&gt;="&amp;'3 WM cash flow'!Q37,'1 Reclamation and O&amp;M costs'!$N$70:$N$85))+IF('3 WM cash flow'!Q37&lt;=('1 Reclamation and O&amp;M costs'!$O$23-'1 Reclamation and O&amp;M costs'!$O$22),'1 Reclamation and O&amp;M costs'!$I$89,0))*(1+$S$8)</f>
        <v>0</v>
      </c>
      <c r="U37" s="106">
        <f>SUMIF('1 Reclamation and O&amp;M costs'!$I$45:$I$60,"&gt;="&amp;Q37,'1 Reclamation and O&amp;M costs'!$Q$70:$Q$85)*(1+$S$8)</f>
        <v>0</v>
      </c>
      <c r="V37" s="86"/>
      <c r="W37" s="86">
        <f t="shared" si="7"/>
        <v>24</v>
      </c>
      <c r="X37" s="105">
        <f ca="1">SUMIF('1 Reclamation and O&amp;M costs'!$L$95:$L$112,'3 WM cash flow'!W37,'1 Reclamation and O&amp;M costs'!P$112:$P119)*(1+$S$7)</f>
        <v>0</v>
      </c>
      <c r="Y37" s="106">
        <f>SUMIF('1 Reclamation and O&amp;M costs'!$K$95:$K$112,'3 WM cash flow'!W37,'1 Reclamation and O&amp;M costs'!$T$95:$T$112)*(1+$S$7)</f>
        <v>0</v>
      </c>
      <c r="Z37" s="105">
        <f>SUMIF('1 Reclamation and O&amp;M costs'!$K$95:$K$112,"&gt;="&amp;M37,'1 Reclamation and O&amp;M costs'!$R$95:$R$112)*(1+$S$8)</f>
        <v>0</v>
      </c>
      <c r="AA37" s="106"/>
      <c r="AB37" s="86">
        <f t="shared" si="8"/>
        <v>24</v>
      </c>
      <c r="AC37" s="105">
        <f>SUMIF('1 Reclamation and O&amp;M costs'!$H$122:$H$132,'3 WM cash flow'!AB37,'1 Reclamation and O&amp;M costs'!$Q$122:$Q$132)*(1+$S$7)</f>
        <v>0</v>
      </c>
      <c r="AD37" s="106">
        <f>SUMIF('1 Reclamation and O&amp;M costs'!$H$122:$H$132,"&gt;="&amp;AB37,'1 Reclamation and O&amp;M costs'!$O$122:$O$132)*(1+$S$8)</f>
        <v>0</v>
      </c>
      <c r="AE37" s="108"/>
      <c r="AF37" s="86">
        <f t="shared" si="9"/>
        <v>24</v>
      </c>
      <c r="AG37" s="105">
        <f>(IF(AF37&lt;('1 Reclamation and O&amp;M costs'!$O$23-'1 Reclamation and O&amp;M costs'!$O$22),'2 Sampling Cost'!$O$13,IF(AF37&lt;'1 Reclamation and O&amp;M costs'!$O$24,'2 Sampling Cost'!$O$14,'2 Sampling Cost'!$O$15)))*(1+$S$8)</f>
        <v>3594.3250000000003</v>
      </c>
      <c r="AH37" s="106"/>
      <c r="AI37" s="105">
        <f t="shared" ca="1" si="10"/>
        <v>3594.3250000000003</v>
      </c>
      <c r="AJ37" s="106"/>
    </row>
    <row r="38" spans="2:36" x14ac:dyDescent="0.25">
      <c r="B38" s="365">
        <f t="shared" si="0"/>
        <v>26</v>
      </c>
      <c r="C38" s="354">
        <f t="shared" ca="1" si="1"/>
        <v>0</v>
      </c>
      <c r="D38" s="354">
        <f t="shared" si="2"/>
        <v>0</v>
      </c>
      <c r="E38" s="354">
        <f t="shared" si="3"/>
        <v>3594.3250000000003</v>
      </c>
      <c r="F38" s="354">
        <f t="shared" ca="1" si="4"/>
        <v>3594.3250000000003</v>
      </c>
      <c r="M38" s="86">
        <f t="shared" si="5"/>
        <v>25</v>
      </c>
      <c r="N38" s="105">
        <f>SUMIF('1 Reclamation and O&amp;M costs'!$N$28:$N$37,M38,'1 Reclamation and O&amp;M costs'!$P$28:$P$37)*($S$7+1)</f>
        <v>0</v>
      </c>
      <c r="O38" s="106">
        <f>SUMIF('1 Reclamation and O&amp;M costs'!$M$28:$M$37,"&gt;="&amp;M38,'1 Reclamation and O&amp;M costs'!$R$28:$R$37)*($S$8+1)</f>
        <v>0</v>
      </c>
      <c r="P38" s="86"/>
      <c r="Q38" s="86">
        <f t="shared" si="6"/>
        <v>25</v>
      </c>
      <c r="R38" s="105">
        <f>SUMIF('1 Reclamation and O&amp;M costs'!$J$45:$J$60,'3 WM cash flow'!Q38,'1 Reclamation and O&amp;M costs'!$P$70:$P$85)*(1+$S$8)</f>
        <v>0</v>
      </c>
      <c r="S38" s="106">
        <f>SUMIF('1 Reclamation and O&amp;M costs'!$I$45:$I$60,'3 WM cash flow'!Q38,'1 Reclamation and O&amp;M costs'!$S$70:$S$85)*(1+$S$7)</f>
        <v>0</v>
      </c>
      <c r="T38" s="105">
        <f>(IF('3 WM cash flow'!Q38&lt;=('1 Reclamation and O&amp;M costs'!$O$23-'1 Reclamation and O&amp;M costs'!$O$22),0,SUMIF('1 Reclamation and O&amp;M costs'!$I$45:$I$60,"&gt;="&amp;'3 WM cash flow'!Q38,'1 Reclamation and O&amp;M costs'!$N$70:$N$85))+IF('3 WM cash flow'!Q38&lt;=('1 Reclamation and O&amp;M costs'!$O$23-'1 Reclamation and O&amp;M costs'!$O$22),'1 Reclamation and O&amp;M costs'!$I$89,0))*(1+$S$8)</f>
        <v>0</v>
      </c>
      <c r="U38" s="106">
        <f>SUMIF('1 Reclamation and O&amp;M costs'!$I$45:$I$60,"&gt;="&amp;Q38,'1 Reclamation and O&amp;M costs'!$Q$70:$Q$85)*(1+$S$8)</f>
        <v>0</v>
      </c>
      <c r="V38" s="86"/>
      <c r="W38" s="86">
        <f t="shared" si="7"/>
        <v>25</v>
      </c>
      <c r="X38" s="105">
        <f ca="1">SUMIF('1 Reclamation and O&amp;M costs'!$L$95:$L$112,'3 WM cash flow'!W38,'1 Reclamation and O&amp;M costs'!P$112:$P119)*(1+$S$7)</f>
        <v>0</v>
      </c>
      <c r="Y38" s="106">
        <f>SUMIF('1 Reclamation and O&amp;M costs'!$K$95:$K$112,'3 WM cash flow'!W38,'1 Reclamation and O&amp;M costs'!$T$95:$T$112)*(1+$S$7)</f>
        <v>0</v>
      </c>
      <c r="Z38" s="105">
        <f>SUMIF('1 Reclamation and O&amp;M costs'!$K$95:$K$112,"&gt;="&amp;M38,'1 Reclamation and O&amp;M costs'!$R$95:$R$112)*(1+$S$8)</f>
        <v>0</v>
      </c>
      <c r="AA38" s="106"/>
      <c r="AB38" s="86">
        <f t="shared" si="8"/>
        <v>25</v>
      </c>
      <c r="AC38" s="105">
        <f>SUMIF('1 Reclamation and O&amp;M costs'!$H$122:$H$132,'3 WM cash flow'!AB38,'1 Reclamation and O&amp;M costs'!$Q$122:$Q$132)*(1+$S$7)</f>
        <v>0</v>
      </c>
      <c r="AD38" s="106">
        <f>SUMIF('1 Reclamation and O&amp;M costs'!$H$122:$H$132,"&gt;="&amp;AB38,'1 Reclamation and O&amp;M costs'!$O$122:$O$132)*(1+$S$8)</f>
        <v>0</v>
      </c>
      <c r="AE38" s="108"/>
      <c r="AF38" s="86">
        <f t="shared" si="9"/>
        <v>25</v>
      </c>
      <c r="AG38" s="105">
        <f>(IF(AF38&lt;('1 Reclamation and O&amp;M costs'!$O$23-'1 Reclamation and O&amp;M costs'!$O$22),'2 Sampling Cost'!$O$13,IF(AF38&lt;'1 Reclamation and O&amp;M costs'!$O$24,'2 Sampling Cost'!$O$14,'2 Sampling Cost'!$O$15)))*(1+$S$8)</f>
        <v>3594.3250000000003</v>
      </c>
      <c r="AH38" s="106"/>
      <c r="AI38" s="105">
        <f t="shared" ca="1" si="10"/>
        <v>3594.3250000000003</v>
      </c>
      <c r="AJ38" s="106"/>
    </row>
    <row r="39" spans="2:36" x14ac:dyDescent="0.25">
      <c r="B39" s="365">
        <f t="shared" si="0"/>
        <v>27</v>
      </c>
      <c r="C39" s="354">
        <f t="shared" ca="1" si="1"/>
        <v>0</v>
      </c>
      <c r="D39" s="354">
        <f t="shared" si="2"/>
        <v>0</v>
      </c>
      <c r="E39" s="354">
        <f t="shared" si="3"/>
        <v>3594.3250000000003</v>
      </c>
      <c r="F39" s="354">
        <f t="shared" ca="1" si="4"/>
        <v>3594.3250000000003</v>
      </c>
      <c r="M39" s="86">
        <f t="shared" si="5"/>
        <v>26</v>
      </c>
      <c r="N39" s="105">
        <f>SUMIF('1 Reclamation and O&amp;M costs'!$N$28:$N$37,M39,'1 Reclamation and O&amp;M costs'!$P$28:$P$37)*($S$7+1)</f>
        <v>0</v>
      </c>
      <c r="O39" s="106">
        <f>SUMIF('1 Reclamation and O&amp;M costs'!$M$28:$M$37,"&gt;="&amp;M39,'1 Reclamation and O&amp;M costs'!$R$28:$R$37)*($S$8+1)</f>
        <v>0</v>
      </c>
      <c r="P39" s="86"/>
      <c r="Q39" s="86">
        <f t="shared" si="6"/>
        <v>26</v>
      </c>
      <c r="R39" s="105">
        <f>SUMIF('1 Reclamation and O&amp;M costs'!$J$45:$J$60,'3 WM cash flow'!Q39,'1 Reclamation and O&amp;M costs'!$P$70:$P$85)*(1+$S$8)</f>
        <v>0</v>
      </c>
      <c r="S39" s="106">
        <f>SUMIF('1 Reclamation and O&amp;M costs'!$I$45:$I$60,'3 WM cash flow'!Q39,'1 Reclamation and O&amp;M costs'!$S$70:$S$85)*(1+$S$7)</f>
        <v>0</v>
      </c>
      <c r="T39" s="105">
        <f>(IF('3 WM cash flow'!Q39&lt;=('1 Reclamation and O&amp;M costs'!$O$23-'1 Reclamation and O&amp;M costs'!$O$22),0,SUMIF('1 Reclamation and O&amp;M costs'!$I$45:$I$60,"&gt;="&amp;'3 WM cash flow'!Q39,'1 Reclamation and O&amp;M costs'!$N$70:$N$85))+IF('3 WM cash flow'!Q39&lt;=('1 Reclamation and O&amp;M costs'!$O$23-'1 Reclamation and O&amp;M costs'!$O$22),'1 Reclamation and O&amp;M costs'!$I$89,0))*(1+$S$8)</f>
        <v>0</v>
      </c>
      <c r="U39" s="106">
        <f>SUMIF('1 Reclamation and O&amp;M costs'!$I$45:$I$60,"&gt;="&amp;Q39,'1 Reclamation and O&amp;M costs'!$Q$70:$Q$85)*(1+$S$8)</f>
        <v>0</v>
      </c>
      <c r="V39" s="86"/>
      <c r="W39" s="86">
        <f t="shared" si="7"/>
        <v>26</v>
      </c>
      <c r="X39" s="105">
        <f ca="1">SUMIF('1 Reclamation and O&amp;M costs'!$L$95:$L$112,'3 WM cash flow'!W39,'1 Reclamation and O&amp;M costs'!P$112:$P119)*(1+$S$7)</f>
        <v>0</v>
      </c>
      <c r="Y39" s="106">
        <f>SUMIF('1 Reclamation and O&amp;M costs'!$K$95:$K$112,'3 WM cash flow'!W39,'1 Reclamation and O&amp;M costs'!$T$95:$T$112)*(1+$S$7)</f>
        <v>0</v>
      </c>
      <c r="Z39" s="105">
        <f>SUMIF('1 Reclamation and O&amp;M costs'!$K$95:$K$112,"&gt;="&amp;M39,'1 Reclamation and O&amp;M costs'!$R$95:$R$112)*(1+$S$8)</f>
        <v>0</v>
      </c>
      <c r="AA39" s="106"/>
      <c r="AB39" s="86">
        <f t="shared" si="8"/>
        <v>26</v>
      </c>
      <c r="AC39" s="105">
        <f>SUMIF('1 Reclamation and O&amp;M costs'!$H$122:$H$132,'3 WM cash flow'!AB39,'1 Reclamation and O&amp;M costs'!$Q$122:$Q$132)*(1+$S$7)</f>
        <v>0</v>
      </c>
      <c r="AD39" s="106">
        <f>SUMIF('1 Reclamation and O&amp;M costs'!$H$122:$H$132,"&gt;="&amp;AB39,'1 Reclamation and O&amp;M costs'!$O$122:$O$132)*(1+$S$8)</f>
        <v>0</v>
      </c>
      <c r="AE39" s="108"/>
      <c r="AF39" s="86">
        <f t="shared" si="9"/>
        <v>26</v>
      </c>
      <c r="AG39" s="105">
        <f>(IF(AF39&lt;('1 Reclamation and O&amp;M costs'!$O$23-'1 Reclamation and O&amp;M costs'!$O$22),'2 Sampling Cost'!$O$13,IF(AF39&lt;'1 Reclamation and O&amp;M costs'!$O$24,'2 Sampling Cost'!$O$14,'2 Sampling Cost'!$O$15)))*(1+$S$8)</f>
        <v>3594.3250000000003</v>
      </c>
      <c r="AH39" s="106"/>
      <c r="AI39" s="105">
        <f t="shared" ca="1" si="10"/>
        <v>3594.3250000000003</v>
      </c>
      <c r="AJ39" s="106"/>
    </row>
    <row r="40" spans="2:36" x14ac:dyDescent="0.25">
      <c r="B40" s="365">
        <f t="shared" si="0"/>
        <v>28</v>
      </c>
      <c r="C40" s="354">
        <f t="shared" ca="1" si="1"/>
        <v>0</v>
      </c>
      <c r="D40" s="354">
        <f t="shared" si="2"/>
        <v>0</v>
      </c>
      <c r="E40" s="354">
        <f t="shared" si="3"/>
        <v>3594.3250000000003</v>
      </c>
      <c r="F40" s="354">
        <f t="shared" ca="1" si="4"/>
        <v>3594.3250000000003</v>
      </c>
      <c r="M40" s="86">
        <f t="shared" si="5"/>
        <v>27</v>
      </c>
      <c r="N40" s="105">
        <f>SUMIF('1 Reclamation and O&amp;M costs'!$N$28:$N$37,M40,'1 Reclamation and O&amp;M costs'!$P$28:$P$37)*($S$7+1)</f>
        <v>0</v>
      </c>
      <c r="O40" s="106">
        <f>SUMIF('1 Reclamation and O&amp;M costs'!$M$28:$M$37,"&gt;="&amp;M40,'1 Reclamation and O&amp;M costs'!$R$28:$R$37)*($S$8+1)</f>
        <v>0</v>
      </c>
      <c r="P40" s="86"/>
      <c r="Q40" s="86">
        <f t="shared" si="6"/>
        <v>27</v>
      </c>
      <c r="R40" s="105">
        <f>SUMIF('1 Reclamation and O&amp;M costs'!$J$45:$J$60,'3 WM cash flow'!Q40,'1 Reclamation and O&amp;M costs'!$P$70:$P$85)*(1+$S$8)</f>
        <v>0</v>
      </c>
      <c r="S40" s="106">
        <f>SUMIF('1 Reclamation and O&amp;M costs'!$I$45:$I$60,'3 WM cash flow'!Q40,'1 Reclamation and O&amp;M costs'!$S$70:$S$85)*(1+$S$7)</f>
        <v>0</v>
      </c>
      <c r="T40" s="105">
        <f>(IF('3 WM cash flow'!Q40&lt;=('1 Reclamation and O&amp;M costs'!$O$23-'1 Reclamation and O&amp;M costs'!$O$22),0,SUMIF('1 Reclamation and O&amp;M costs'!$I$45:$I$60,"&gt;="&amp;'3 WM cash flow'!Q40,'1 Reclamation and O&amp;M costs'!$N$70:$N$85))+IF('3 WM cash flow'!Q40&lt;=('1 Reclamation and O&amp;M costs'!$O$23-'1 Reclamation and O&amp;M costs'!$O$22),'1 Reclamation and O&amp;M costs'!$I$89,0))*(1+$S$8)</f>
        <v>0</v>
      </c>
      <c r="U40" s="106">
        <f>SUMIF('1 Reclamation and O&amp;M costs'!$I$45:$I$60,"&gt;="&amp;Q40,'1 Reclamation and O&amp;M costs'!$Q$70:$Q$85)*(1+$S$8)</f>
        <v>0</v>
      </c>
      <c r="V40" s="86"/>
      <c r="W40" s="86">
        <f t="shared" si="7"/>
        <v>27</v>
      </c>
      <c r="X40" s="105">
        <f ca="1">SUMIF('1 Reclamation and O&amp;M costs'!$L$95:$L$112,'3 WM cash flow'!W40,'1 Reclamation and O&amp;M costs'!P$112:$P120)*(1+$S$7)</f>
        <v>0</v>
      </c>
      <c r="Y40" s="106">
        <f>SUMIF('1 Reclamation and O&amp;M costs'!$K$95:$K$112,'3 WM cash flow'!W40,'1 Reclamation and O&amp;M costs'!$T$95:$T$112)*(1+$S$7)</f>
        <v>0</v>
      </c>
      <c r="Z40" s="105">
        <f>SUMIF('1 Reclamation and O&amp;M costs'!$K$95:$K$112,"&gt;="&amp;M40,'1 Reclamation and O&amp;M costs'!$R$95:$R$112)*(1+$S$8)</f>
        <v>0</v>
      </c>
      <c r="AA40" s="106"/>
      <c r="AB40" s="86">
        <f t="shared" si="8"/>
        <v>27</v>
      </c>
      <c r="AC40" s="105">
        <f>SUMIF('1 Reclamation and O&amp;M costs'!$H$122:$H$132,'3 WM cash flow'!AB40,'1 Reclamation and O&amp;M costs'!$Q$122:$Q$132)*(1+$S$7)</f>
        <v>0</v>
      </c>
      <c r="AD40" s="106">
        <f>SUMIF('1 Reclamation and O&amp;M costs'!$H$122:$H$132,"&gt;="&amp;AB40,'1 Reclamation and O&amp;M costs'!$O$122:$O$132)*(1+$S$8)</f>
        <v>0</v>
      </c>
      <c r="AE40" s="108"/>
      <c r="AF40" s="86">
        <f t="shared" si="9"/>
        <v>27</v>
      </c>
      <c r="AG40" s="105">
        <f>(IF(AF40&lt;('1 Reclamation and O&amp;M costs'!$O$23-'1 Reclamation and O&amp;M costs'!$O$22),'2 Sampling Cost'!$O$13,IF(AF40&lt;'1 Reclamation and O&amp;M costs'!$O$24,'2 Sampling Cost'!$O$14,'2 Sampling Cost'!$O$15)))*(1+$S$8)</f>
        <v>3594.3250000000003</v>
      </c>
      <c r="AH40" s="106"/>
      <c r="AI40" s="105">
        <f t="shared" ca="1" si="10"/>
        <v>3594.3250000000003</v>
      </c>
      <c r="AJ40" s="106"/>
    </row>
    <row r="41" spans="2:36" x14ac:dyDescent="0.25">
      <c r="B41" s="365">
        <f t="shared" si="0"/>
        <v>29</v>
      </c>
      <c r="C41" s="354">
        <f t="shared" ca="1" si="1"/>
        <v>0</v>
      </c>
      <c r="D41" s="354">
        <f t="shared" si="2"/>
        <v>0</v>
      </c>
      <c r="E41" s="354">
        <f t="shared" si="3"/>
        <v>3594.3250000000003</v>
      </c>
      <c r="F41" s="354">
        <f t="shared" ca="1" si="4"/>
        <v>3594.3250000000003</v>
      </c>
      <c r="M41" s="86">
        <f t="shared" si="5"/>
        <v>28</v>
      </c>
      <c r="N41" s="105">
        <f>SUMIF('1 Reclamation and O&amp;M costs'!$N$28:$N$37,M41,'1 Reclamation and O&amp;M costs'!$P$28:$P$37)*($S$7+1)</f>
        <v>0</v>
      </c>
      <c r="O41" s="106">
        <f>SUMIF('1 Reclamation and O&amp;M costs'!$M$28:$M$37,"&gt;="&amp;M41,'1 Reclamation and O&amp;M costs'!$R$28:$R$37)*($S$8+1)</f>
        <v>0</v>
      </c>
      <c r="P41" s="86"/>
      <c r="Q41" s="86">
        <f t="shared" si="6"/>
        <v>28</v>
      </c>
      <c r="R41" s="105">
        <f>SUMIF('1 Reclamation and O&amp;M costs'!$J$45:$J$60,'3 WM cash flow'!Q41,'1 Reclamation and O&amp;M costs'!$P$70:$P$85)*(1+$S$8)</f>
        <v>0</v>
      </c>
      <c r="S41" s="106">
        <f>SUMIF('1 Reclamation and O&amp;M costs'!$I$45:$I$60,'3 WM cash flow'!Q41,'1 Reclamation and O&amp;M costs'!$S$70:$S$85)*(1+$S$7)</f>
        <v>0</v>
      </c>
      <c r="T41" s="105">
        <f>(IF('3 WM cash flow'!Q41&lt;=('1 Reclamation and O&amp;M costs'!$O$23-'1 Reclamation and O&amp;M costs'!$O$22),0,SUMIF('1 Reclamation and O&amp;M costs'!$I$45:$I$60,"&gt;="&amp;'3 WM cash flow'!Q41,'1 Reclamation and O&amp;M costs'!$N$70:$N$85))+IF('3 WM cash flow'!Q41&lt;=('1 Reclamation and O&amp;M costs'!$O$23-'1 Reclamation and O&amp;M costs'!$O$22),'1 Reclamation and O&amp;M costs'!$I$89,0))*(1+$S$8)</f>
        <v>0</v>
      </c>
      <c r="U41" s="106">
        <f>SUMIF('1 Reclamation and O&amp;M costs'!$I$45:$I$60,"&gt;="&amp;Q41,'1 Reclamation and O&amp;M costs'!$Q$70:$Q$85)*(1+$S$8)</f>
        <v>0</v>
      </c>
      <c r="V41" s="86"/>
      <c r="W41" s="86">
        <f t="shared" si="7"/>
        <v>28</v>
      </c>
      <c r="X41" s="105">
        <f ca="1">SUMIF('1 Reclamation and O&amp;M costs'!$L$95:$L$112,'3 WM cash flow'!W41,'1 Reclamation and O&amp;M costs'!P$112:$P121)*(1+$S$7)</f>
        <v>0</v>
      </c>
      <c r="Y41" s="106">
        <f>SUMIF('1 Reclamation and O&amp;M costs'!$K$95:$K$112,'3 WM cash flow'!W41,'1 Reclamation and O&amp;M costs'!$T$95:$T$112)*(1+$S$7)</f>
        <v>0</v>
      </c>
      <c r="Z41" s="105">
        <f>SUMIF('1 Reclamation and O&amp;M costs'!$K$95:$K$112,"&gt;="&amp;M41,'1 Reclamation and O&amp;M costs'!$R$95:$R$112)*(1+$S$8)</f>
        <v>0</v>
      </c>
      <c r="AA41" s="106"/>
      <c r="AB41" s="86">
        <f t="shared" si="8"/>
        <v>28</v>
      </c>
      <c r="AC41" s="105">
        <f>SUMIF('1 Reclamation and O&amp;M costs'!$H$122:$H$132,'3 WM cash flow'!AB41,'1 Reclamation and O&amp;M costs'!$Q$122:$Q$132)*(1+$S$7)</f>
        <v>0</v>
      </c>
      <c r="AD41" s="106">
        <f>SUMIF('1 Reclamation and O&amp;M costs'!$H$122:$H$132,"&gt;="&amp;AB41,'1 Reclamation and O&amp;M costs'!$O$122:$O$132)*(1+$S$8)</f>
        <v>0</v>
      </c>
      <c r="AE41" s="108"/>
      <c r="AF41" s="86">
        <f t="shared" si="9"/>
        <v>28</v>
      </c>
      <c r="AG41" s="105">
        <f>(IF(AF41&lt;('1 Reclamation and O&amp;M costs'!$O$23-'1 Reclamation and O&amp;M costs'!$O$22),'2 Sampling Cost'!$O$13,IF(AF41&lt;'1 Reclamation and O&amp;M costs'!$O$24,'2 Sampling Cost'!$O$14,'2 Sampling Cost'!$O$15)))*(1+$S$8)</f>
        <v>3594.3250000000003</v>
      </c>
      <c r="AH41" s="106"/>
      <c r="AI41" s="105">
        <f t="shared" ca="1" si="10"/>
        <v>3594.3250000000003</v>
      </c>
      <c r="AJ41" s="106"/>
    </row>
    <row r="42" spans="2:36" x14ac:dyDescent="0.25">
      <c r="B42" s="365">
        <f t="shared" si="0"/>
        <v>30</v>
      </c>
      <c r="C42" s="354">
        <f t="shared" ca="1" si="1"/>
        <v>0</v>
      </c>
      <c r="D42" s="354">
        <f t="shared" si="2"/>
        <v>0</v>
      </c>
      <c r="E42" s="354">
        <f t="shared" si="3"/>
        <v>3594.3250000000003</v>
      </c>
      <c r="F42" s="354">
        <f t="shared" ca="1" si="4"/>
        <v>3594.3250000000003</v>
      </c>
      <c r="M42" s="86">
        <f t="shared" si="5"/>
        <v>29</v>
      </c>
      <c r="N42" s="105">
        <f>SUMIF('1 Reclamation and O&amp;M costs'!$N$28:$N$37,M42,'1 Reclamation and O&amp;M costs'!$P$28:$P$37)*($S$7+1)</f>
        <v>0</v>
      </c>
      <c r="O42" s="106">
        <f>SUMIF('1 Reclamation and O&amp;M costs'!$M$28:$M$37,"&gt;="&amp;M42,'1 Reclamation and O&amp;M costs'!$R$28:$R$37)*($S$8+1)</f>
        <v>0</v>
      </c>
      <c r="P42" s="86"/>
      <c r="Q42" s="86">
        <f t="shared" si="6"/>
        <v>29</v>
      </c>
      <c r="R42" s="105">
        <f>SUMIF('1 Reclamation and O&amp;M costs'!$J$45:$J$60,'3 WM cash flow'!Q42,'1 Reclamation and O&amp;M costs'!$P$70:$P$85)*(1+$S$8)</f>
        <v>0</v>
      </c>
      <c r="S42" s="106">
        <f>SUMIF('1 Reclamation and O&amp;M costs'!$I$45:$I$60,'3 WM cash flow'!Q42,'1 Reclamation and O&amp;M costs'!$S$70:$S$85)*(1+$S$7)</f>
        <v>0</v>
      </c>
      <c r="T42" s="105">
        <f>(IF('3 WM cash flow'!Q42&lt;=('1 Reclamation and O&amp;M costs'!$O$23-'1 Reclamation and O&amp;M costs'!$O$22),0,SUMIF('1 Reclamation and O&amp;M costs'!$I$45:$I$60,"&gt;="&amp;'3 WM cash flow'!Q42,'1 Reclamation and O&amp;M costs'!$N$70:$N$85))+IF('3 WM cash flow'!Q42&lt;=('1 Reclamation and O&amp;M costs'!$O$23-'1 Reclamation and O&amp;M costs'!$O$22),'1 Reclamation and O&amp;M costs'!$I$89,0))*(1+$S$8)</f>
        <v>0</v>
      </c>
      <c r="U42" s="106">
        <f>SUMIF('1 Reclamation and O&amp;M costs'!$I$45:$I$60,"&gt;="&amp;Q42,'1 Reclamation and O&amp;M costs'!$Q$70:$Q$85)*(1+$S$8)</f>
        <v>0</v>
      </c>
      <c r="V42" s="86"/>
      <c r="W42" s="86">
        <f t="shared" si="7"/>
        <v>29</v>
      </c>
      <c r="X42" s="105">
        <f ca="1">SUMIF('1 Reclamation and O&amp;M costs'!$L$95:$L$112,'3 WM cash flow'!W42,'1 Reclamation and O&amp;M costs'!P$112:$P122)*(1+$S$7)</f>
        <v>0</v>
      </c>
      <c r="Y42" s="106">
        <f>SUMIF('1 Reclamation and O&amp;M costs'!$K$95:$K$112,'3 WM cash flow'!W42,'1 Reclamation and O&amp;M costs'!$T$95:$T$112)*(1+$S$7)</f>
        <v>0</v>
      </c>
      <c r="Z42" s="105">
        <f>SUMIF('1 Reclamation and O&amp;M costs'!$K$95:$K$112,"&gt;="&amp;M42,'1 Reclamation and O&amp;M costs'!$R$95:$R$112)*(1+$S$8)</f>
        <v>0</v>
      </c>
      <c r="AA42" s="106"/>
      <c r="AB42" s="86">
        <f t="shared" si="8"/>
        <v>29</v>
      </c>
      <c r="AC42" s="105">
        <f>SUMIF('1 Reclamation and O&amp;M costs'!$H$122:$H$132,'3 WM cash flow'!AB42,'1 Reclamation and O&amp;M costs'!$Q$122:$Q$132)*(1+$S$7)</f>
        <v>0</v>
      </c>
      <c r="AD42" s="106">
        <f>SUMIF('1 Reclamation and O&amp;M costs'!$H$122:$H$132,"&gt;="&amp;AB42,'1 Reclamation and O&amp;M costs'!$O$122:$O$132)*(1+$S$8)</f>
        <v>0</v>
      </c>
      <c r="AE42" s="108"/>
      <c r="AF42" s="86">
        <f t="shared" si="9"/>
        <v>29</v>
      </c>
      <c r="AG42" s="105">
        <f>(IF(AF42&lt;('1 Reclamation and O&amp;M costs'!$O$23-'1 Reclamation and O&amp;M costs'!$O$22),'2 Sampling Cost'!$O$13,IF(AF42&lt;'1 Reclamation and O&amp;M costs'!$O$24,'2 Sampling Cost'!$O$14,'2 Sampling Cost'!$O$15)))*(1+$S$8)</f>
        <v>3594.3250000000003</v>
      </c>
      <c r="AH42" s="106"/>
      <c r="AI42" s="105">
        <f t="shared" ca="1" si="10"/>
        <v>3594.3250000000003</v>
      </c>
      <c r="AJ42" s="106"/>
    </row>
    <row r="43" spans="2:36" x14ac:dyDescent="0.25">
      <c r="B43" s="365">
        <f t="shared" si="0"/>
        <v>31</v>
      </c>
      <c r="C43" s="354">
        <f t="shared" ca="1" si="1"/>
        <v>0</v>
      </c>
      <c r="D43" s="354">
        <f t="shared" si="2"/>
        <v>0</v>
      </c>
      <c r="E43" s="354">
        <f t="shared" si="3"/>
        <v>3594.3250000000003</v>
      </c>
      <c r="F43" s="354">
        <f t="shared" ca="1" si="4"/>
        <v>3594.3250000000003</v>
      </c>
      <c r="M43" s="86">
        <f t="shared" si="5"/>
        <v>30</v>
      </c>
      <c r="N43" s="105">
        <f>SUMIF('1 Reclamation and O&amp;M costs'!$N$28:$N$37,M43,'1 Reclamation and O&amp;M costs'!$P$28:$P$37)*($S$7+1)</f>
        <v>0</v>
      </c>
      <c r="O43" s="106">
        <f>SUMIF('1 Reclamation and O&amp;M costs'!$M$28:$M$37,"&gt;="&amp;M43,'1 Reclamation and O&amp;M costs'!$R$28:$R$37)*($S$8+1)</f>
        <v>0</v>
      </c>
      <c r="P43" s="86"/>
      <c r="Q43" s="86">
        <f t="shared" si="6"/>
        <v>30</v>
      </c>
      <c r="R43" s="105">
        <f>SUMIF('1 Reclamation and O&amp;M costs'!$J$45:$J$60,'3 WM cash flow'!Q43,'1 Reclamation and O&amp;M costs'!$P$70:$P$85)*(1+$S$8)</f>
        <v>0</v>
      </c>
      <c r="S43" s="106">
        <f>SUMIF('1 Reclamation and O&amp;M costs'!$I$45:$I$60,'3 WM cash flow'!Q43,'1 Reclamation and O&amp;M costs'!$S$70:$S$85)*(1+$S$7)</f>
        <v>0</v>
      </c>
      <c r="T43" s="105">
        <f>(IF('3 WM cash flow'!Q43&lt;=('1 Reclamation and O&amp;M costs'!$O$23-'1 Reclamation and O&amp;M costs'!$O$22),0,SUMIF('1 Reclamation and O&amp;M costs'!$I$45:$I$60,"&gt;="&amp;'3 WM cash flow'!Q43,'1 Reclamation and O&amp;M costs'!$N$70:$N$85))+IF('3 WM cash flow'!Q43&lt;=('1 Reclamation and O&amp;M costs'!$O$23-'1 Reclamation and O&amp;M costs'!$O$22),'1 Reclamation and O&amp;M costs'!$I$89,0))*(1+$S$8)</f>
        <v>0</v>
      </c>
      <c r="U43" s="106">
        <f>SUMIF('1 Reclamation and O&amp;M costs'!$I$45:$I$60,"&gt;="&amp;Q43,'1 Reclamation and O&amp;M costs'!$Q$70:$Q$85)*(1+$S$8)</f>
        <v>0</v>
      </c>
      <c r="V43" s="86"/>
      <c r="W43" s="86">
        <f t="shared" si="7"/>
        <v>30</v>
      </c>
      <c r="X43" s="105">
        <f ca="1">SUMIF('1 Reclamation and O&amp;M costs'!$L$95:$L$112,'3 WM cash flow'!W43,'1 Reclamation and O&amp;M costs'!P$112:$P123)*(1+$S$7)</f>
        <v>0</v>
      </c>
      <c r="Y43" s="106">
        <f>SUMIF('1 Reclamation and O&amp;M costs'!$K$95:$K$112,'3 WM cash flow'!W43,'1 Reclamation and O&amp;M costs'!$T$95:$T$112)*(1+$S$7)</f>
        <v>0</v>
      </c>
      <c r="Z43" s="105">
        <f>SUMIF('1 Reclamation and O&amp;M costs'!$K$95:$K$112,"&gt;="&amp;M43,'1 Reclamation and O&amp;M costs'!$R$95:$R$112)*(1+$S$8)</f>
        <v>0</v>
      </c>
      <c r="AA43" s="106"/>
      <c r="AB43" s="86">
        <f t="shared" si="8"/>
        <v>30</v>
      </c>
      <c r="AC43" s="105">
        <f>SUMIF('1 Reclamation and O&amp;M costs'!$H$122:$H$132,'3 WM cash flow'!AB43,'1 Reclamation and O&amp;M costs'!$Q$122:$Q$132)*(1+$S$7)</f>
        <v>0</v>
      </c>
      <c r="AD43" s="106">
        <f>SUMIF('1 Reclamation and O&amp;M costs'!$H$122:$H$132,"&gt;="&amp;AB43,'1 Reclamation and O&amp;M costs'!$O$122:$O$132)*(1+$S$8)</f>
        <v>0</v>
      </c>
      <c r="AE43" s="108"/>
      <c r="AF43" s="86">
        <f t="shared" si="9"/>
        <v>30</v>
      </c>
      <c r="AG43" s="105">
        <f>(IF(AF43&lt;('1 Reclamation and O&amp;M costs'!$O$23-'1 Reclamation and O&amp;M costs'!$O$22),'2 Sampling Cost'!$O$13,IF(AF43&lt;'1 Reclamation and O&amp;M costs'!$O$24,'2 Sampling Cost'!$O$14,'2 Sampling Cost'!$O$15)))*(1+$S$8)</f>
        <v>3594.3250000000003</v>
      </c>
      <c r="AH43" s="106"/>
      <c r="AI43" s="105">
        <f t="shared" ca="1" si="10"/>
        <v>3594.3250000000003</v>
      </c>
      <c r="AJ43" s="106"/>
    </row>
    <row r="44" spans="2:36" x14ac:dyDescent="0.25">
      <c r="B44" s="365">
        <f t="shared" si="0"/>
        <v>32</v>
      </c>
      <c r="C44" s="354">
        <f t="shared" ca="1" si="1"/>
        <v>0</v>
      </c>
      <c r="D44" s="354">
        <f t="shared" si="2"/>
        <v>0</v>
      </c>
      <c r="E44" s="354">
        <f t="shared" si="3"/>
        <v>3594.3250000000003</v>
      </c>
      <c r="F44" s="354">
        <f t="shared" ca="1" si="4"/>
        <v>3594.3250000000003</v>
      </c>
      <c r="M44" s="86">
        <f t="shared" si="5"/>
        <v>31</v>
      </c>
      <c r="N44" s="105">
        <f>SUMIF('1 Reclamation and O&amp;M costs'!$N$28:$N$37,M44,'1 Reclamation and O&amp;M costs'!$P$28:$P$37)*($S$7+1)</f>
        <v>0</v>
      </c>
      <c r="O44" s="106">
        <f>SUMIF('1 Reclamation and O&amp;M costs'!$M$28:$M$37,"&gt;="&amp;M44,'1 Reclamation and O&amp;M costs'!$R$28:$R$37)*($S$8+1)</f>
        <v>0</v>
      </c>
      <c r="P44" s="86"/>
      <c r="Q44" s="86">
        <f t="shared" si="6"/>
        <v>31</v>
      </c>
      <c r="R44" s="105">
        <f>SUMIF('1 Reclamation and O&amp;M costs'!$J$45:$J$60,'3 WM cash flow'!Q44,'1 Reclamation and O&amp;M costs'!$P$70:$P$85)*(1+$S$8)</f>
        <v>0</v>
      </c>
      <c r="S44" s="106">
        <f>SUMIF('1 Reclamation and O&amp;M costs'!$I$45:$I$60,'3 WM cash flow'!Q44,'1 Reclamation and O&amp;M costs'!$S$70:$S$85)*(1+$S$7)</f>
        <v>0</v>
      </c>
      <c r="T44" s="105">
        <f>(IF('3 WM cash flow'!Q44&lt;=('1 Reclamation and O&amp;M costs'!$O$23-'1 Reclamation and O&amp;M costs'!$O$22),0,SUMIF('1 Reclamation and O&amp;M costs'!$I$45:$I$60,"&gt;="&amp;'3 WM cash flow'!Q44,'1 Reclamation and O&amp;M costs'!$N$70:$N$85))+IF('3 WM cash flow'!Q44&lt;=('1 Reclamation and O&amp;M costs'!$O$23-'1 Reclamation and O&amp;M costs'!$O$22),'1 Reclamation and O&amp;M costs'!$I$89,0))*(1+$S$8)</f>
        <v>0</v>
      </c>
      <c r="U44" s="106">
        <f>SUMIF('1 Reclamation and O&amp;M costs'!$I$45:$I$60,"&gt;="&amp;Q44,'1 Reclamation and O&amp;M costs'!$Q$70:$Q$85)*(1+$S$8)</f>
        <v>0</v>
      </c>
      <c r="V44" s="86"/>
      <c r="W44" s="86">
        <f t="shared" si="7"/>
        <v>31</v>
      </c>
      <c r="X44" s="105">
        <f ca="1">SUMIF('1 Reclamation and O&amp;M costs'!$L$95:$L$112,'3 WM cash flow'!W44,'1 Reclamation and O&amp;M costs'!P$112:$P124)*(1+$S$7)</f>
        <v>0</v>
      </c>
      <c r="Y44" s="106">
        <f>SUMIF('1 Reclamation and O&amp;M costs'!$K$95:$K$112,'3 WM cash flow'!W44,'1 Reclamation and O&amp;M costs'!$T$95:$T$112)*(1+$S$7)</f>
        <v>0</v>
      </c>
      <c r="Z44" s="105">
        <f>SUMIF('1 Reclamation and O&amp;M costs'!$K$95:$K$112,"&gt;="&amp;M44,'1 Reclamation and O&amp;M costs'!$R$95:$R$112)*(1+$S$8)</f>
        <v>0</v>
      </c>
      <c r="AA44" s="106"/>
      <c r="AB44" s="86">
        <f t="shared" si="8"/>
        <v>31</v>
      </c>
      <c r="AC44" s="105">
        <f>SUMIF('1 Reclamation and O&amp;M costs'!$H$122:$H$132,'3 WM cash flow'!AB44,'1 Reclamation and O&amp;M costs'!$Q$122:$Q$132)*(1+$S$7)</f>
        <v>0</v>
      </c>
      <c r="AD44" s="106">
        <f>SUMIF('1 Reclamation and O&amp;M costs'!$H$122:$H$132,"&gt;="&amp;AB44,'1 Reclamation and O&amp;M costs'!$O$122:$O$132)*(1+$S$8)</f>
        <v>0</v>
      </c>
      <c r="AE44" s="108"/>
      <c r="AF44" s="86">
        <f t="shared" si="9"/>
        <v>31</v>
      </c>
      <c r="AG44" s="105">
        <f>(IF(AF44&lt;('1 Reclamation and O&amp;M costs'!$O$23-'1 Reclamation and O&amp;M costs'!$O$22),'2 Sampling Cost'!$O$13,IF(AF44&lt;'1 Reclamation and O&amp;M costs'!$O$24,'2 Sampling Cost'!$O$14,'2 Sampling Cost'!$O$15)))*(1+$S$8)</f>
        <v>3594.3250000000003</v>
      </c>
      <c r="AH44" s="106"/>
      <c r="AI44" s="105">
        <f t="shared" ca="1" si="10"/>
        <v>3594.3250000000003</v>
      </c>
      <c r="AJ44" s="106"/>
    </row>
    <row r="45" spans="2:36" x14ac:dyDescent="0.25">
      <c r="B45" s="365">
        <f t="shared" si="0"/>
        <v>33</v>
      </c>
      <c r="C45" s="354">
        <f t="shared" ca="1" si="1"/>
        <v>0</v>
      </c>
      <c r="D45" s="354">
        <f t="shared" si="2"/>
        <v>0</v>
      </c>
      <c r="E45" s="354">
        <f t="shared" si="3"/>
        <v>3594.3250000000003</v>
      </c>
      <c r="F45" s="354">
        <f t="shared" ca="1" si="4"/>
        <v>3594.3250000000003</v>
      </c>
      <c r="M45" s="86">
        <f t="shared" si="5"/>
        <v>32</v>
      </c>
      <c r="N45" s="105">
        <f>SUMIF('1 Reclamation and O&amp;M costs'!$N$28:$N$37,M45,'1 Reclamation and O&amp;M costs'!$P$28:$P$37)*($S$7+1)</f>
        <v>0</v>
      </c>
      <c r="O45" s="106">
        <f>SUMIF('1 Reclamation and O&amp;M costs'!$M$28:$M$37,"&gt;="&amp;M45,'1 Reclamation and O&amp;M costs'!$R$28:$R$37)*($S$8+1)</f>
        <v>0</v>
      </c>
      <c r="P45" s="86"/>
      <c r="Q45" s="86">
        <f t="shared" si="6"/>
        <v>32</v>
      </c>
      <c r="R45" s="105">
        <f>SUMIF('1 Reclamation and O&amp;M costs'!$J$45:$J$60,'3 WM cash flow'!Q45,'1 Reclamation and O&amp;M costs'!$P$70:$P$85)*(1+$S$8)</f>
        <v>0</v>
      </c>
      <c r="S45" s="106">
        <f>SUMIF('1 Reclamation and O&amp;M costs'!$I$45:$I$60,'3 WM cash flow'!Q45,'1 Reclamation and O&amp;M costs'!$S$70:$S$85)*(1+$S$7)</f>
        <v>0</v>
      </c>
      <c r="T45" s="105">
        <f>(IF('3 WM cash flow'!Q45&lt;=('1 Reclamation and O&amp;M costs'!$O$23-'1 Reclamation and O&amp;M costs'!$O$22),0,SUMIF('1 Reclamation and O&amp;M costs'!$I$45:$I$60,"&gt;="&amp;'3 WM cash flow'!Q45,'1 Reclamation and O&amp;M costs'!$N$70:$N$85))+IF('3 WM cash flow'!Q45&lt;=('1 Reclamation and O&amp;M costs'!$O$23-'1 Reclamation and O&amp;M costs'!$O$22),'1 Reclamation and O&amp;M costs'!$I$89,0))*(1+$S$8)</f>
        <v>0</v>
      </c>
      <c r="U45" s="106">
        <f>SUMIF('1 Reclamation and O&amp;M costs'!$I$45:$I$60,"&gt;="&amp;Q45,'1 Reclamation and O&amp;M costs'!$Q$70:$Q$85)*(1+$S$8)</f>
        <v>0</v>
      </c>
      <c r="V45" s="86"/>
      <c r="W45" s="86">
        <f t="shared" si="7"/>
        <v>32</v>
      </c>
      <c r="X45" s="105">
        <f ca="1">SUMIF('1 Reclamation and O&amp;M costs'!$L$95:$L$112,'3 WM cash flow'!W45,'1 Reclamation and O&amp;M costs'!P$112:$P125)*(1+$S$7)</f>
        <v>0</v>
      </c>
      <c r="Y45" s="106">
        <f>SUMIF('1 Reclamation and O&amp;M costs'!$K$95:$K$112,'3 WM cash flow'!W45,'1 Reclamation and O&amp;M costs'!$T$95:$T$112)*(1+$S$7)</f>
        <v>0</v>
      </c>
      <c r="Z45" s="105">
        <f>SUMIF('1 Reclamation and O&amp;M costs'!$K$95:$K$112,"&gt;="&amp;M45,'1 Reclamation and O&amp;M costs'!$R$95:$R$112)*(1+$S$8)</f>
        <v>0</v>
      </c>
      <c r="AA45" s="106"/>
      <c r="AB45" s="86">
        <f t="shared" si="8"/>
        <v>32</v>
      </c>
      <c r="AC45" s="105">
        <f>SUMIF('1 Reclamation and O&amp;M costs'!$H$122:$H$132,'3 WM cash flow'!AB45,'1 Reclamation and O&amp;M costs'!$Q$122:$Q$132)*(1+$S$7)</f>
        <v>0</v>
      </c>
      <c r="AD45" s="106">
        <f>SUMIF('1 Reclamation and O&amp;M costs'!$H$122:$H$132,"&gt;="&amp;AB45,'1 Reclamation and O&amp;M costs'!$O$122:$O$132)*(1+$S$8)</f>
        <v>0</v>
      </c>
      <c r="AE45" s="108"/>
      <c r="AF45" s="86">
        <f t="shared" si="9"/>
        <v>32</v>
      </c>
      <c r="AG45" s="105">
        <f>(IF(AF45&lt;('1 Reclamation and O&amp;M costs'!$O$23-'1 Reclamation and O&amp;M costs'!$O$22),'2 Sampling Cost'!$O$13,IF(AF45&lt;'1 Reclamation and O&amp;M costs'!$O$24,'2 Sampling Cost'!$O$14,'2 Sampling Cost'!$O$15)))*(1+$S$8)</f>
        <v>3594.3250000000003</v>
      </c>
      <c r="AH45" s="106"/>
      <c r="AI45" s="105">
        <f t="shared" ca="1" si="10"/>
        <v>3594.3250000000003</v>
      </c>
      <c r="AJ45" s="106"/>
    </row>
    <row r="46" spans="2:36" x14ac:dyDescent="0.25">
      <c r="B46" s="365">
        <f t="shared" si="0"/>
        <v>34</v>
      </c>
      <c r="C46" s="354">
        <f t="shared" ca="1" si="1"/>
        <v>0</v>
      </c>
      <c r="D46" s="354">
        <f t="shared" si="2"/>
        <v>0</v>
      </c>
      <c r="E46" s="354">
        <f t="shared" si="3"/>
        <v>3594.3250000000003</v>
      </c>
      <c r="F46" s="354">
        <f t="shared" ca="1" si="4"/>
        <v>3594.3250000000003</v>
      </c>
      <c r="M46" s="86">
        <f t="shared" si="5"/>
        <v>33</v>
      </c>
      <c r="N46" s="105">
        <f>SUMIF('1 Reclamation and O&amp;M costs'!$N$28:$N$37,M46,'1 Reclamation and O&amp;M costs'!$P$28:$P$37)*($S$7+1)</f>
        <v>0</v>
      </c>
      <c r="O46" s="106">
        <f>SUMIF('1 Reclamation and O&amp;M costs'!$M$28:$M$37,"&gt;="&amp;M46,'1 Reclamation and O&amp;M costs'!$R$28:$R$37)*($S$8+1)</f>
        <v>0</v>
      </c>
      <c r="P46" s="86"/>
      <c r="Q46" s="86">
        <f t="shared" ref="Q46:Q77" si="11">1+Q45</f>
        <v>33</v>
      </c>
      <c r="R46" s="105">
        <f>SUMIF('1 Reclamation and O&amp;M costs'!$J$45:$J$60,'3 WM cash flow'!Q46,'1 Reclamation and O&amp;M costs'!$P$70:$P$85)*(1+$S$8)</f>
        <v>0</v>
      </c>
      <c r="S46" s="106">
        <f>SUMIF('1 Reclamation and O&amp;M costs'!$I$45:$I$60,'3 WM cash flow'!Q46,'1 Reclamation and O&amp;M costs'!$S$70:$S$85)*(1+$S$7)</f>
        <v>0</v>
      </c>
      <c r="T46" s="105">
        <f>(IF('3 WM cash flow'!Q46&lt;=('1 Reclamation and O&amp;M costs'!$O$23-'1 Reclamation and O&amp;M costs'!$O$22),0,SUMIF('1 Reclamation and O&amp;M costs'!$I$45:$I$60,"&gt;="&amp;'3 WM cash flow'!Q46,'1 Reclamation and O&amp;M costs'!$N$70:$N$85))+IF('3 WM cash flow'!Q46&lt;=('1 Reclamation and O&amp;M costs'!$O$23-'1 Reclamation and O&amp;M costs'!$O$22),'1 Reclamation and O&amp;M costs'!$I$89,0))*(1+$S$8)</f>
        <v>0</v>
      </c>
      <c r="U46" s="106">
        <f>SUMIF('1 Reclamation and O&amp;M costs'!$I$45:$I$60,"&gt;="&amp;Q46,'1 Reclamation and O&amp;M costs'!$Q$70:$Q$85)*(1+$S$8)</f>
        <v>0</v>
      </c>
      <c r="V46" s="86"/>
      <c r="W46" s="86">
        <f t="shared" ref="W46:W77" si="12">W45+1</f>
        <v>33</v>
      </c>
      <c r="X46" s="105">
        <f ca="1">SUMIF('1 Reclamation and O&amp;M costs'!$L$95:$L$112,'3 WM cash flow'!W46,'1 Reclamation and O&amp;M costs'!P$112:$P126)*(1+$S$7)</f>
        <v>0</v>
      </c>
      <c r="Y46" s="106">
        <f>SUMIF('1 Reclamation and O&amp;M costs'!$K$95:$K$112,'3 WM cash flow'!W46,'1 Reclamation and O&amp;M costs'!$T$95:$T$112)*(1+$S$7)</f>
        <v>0</v>
      </c>
      <c r="Z46" s="105">
        <f>SUMIF('1 Reclamation and O&amp;M costs'!$K$95:$K$112,"&gt;="&amp;M46,'1 Reclamation and O&amp;M costs'!$R$95:$R$112)*(1+$S$8)</f>
        <v>0</v>
      </c>
      <c r="AA46" s="106"/>
      <c r="AB46" s="86">
        <f t="shared" si="8"/>
        <v>33</v>
      </c>
      <c r="AC46" s="105">
        <f>SUMIF('1 Reclamation and O&amp;M costs'!$H$122:$H$132,'3 WM cash flow'!AB46,'1 Reclamation and O&amp;M costs'!$Q$122:$Q$132)*(1+$S$7)</f>
        <v>0</v>
      </c>
      <c r="AD46" s="106">
        <f>SUMIF('1 Reclamation and O&amp;M costs'!$H$122:$H$132,"&gt;="&amp;AB46,'1 Reclamation and O&amp;M costs'!$O$122:$O$132)*(1+$S$8)</f>
        <v>0</v>
      </c>
      <c r="AE46" s="108"/>
      <c r="AF46" s="86">
        <f t="shared" si="9"/>
        <v>33</v>
      </c>
      <c r="AG46" s="105">
        <f>(IF(AF46&lt;('1 Reclamation and O&amp;M costs'!$O$23-'1 Reclamation and O&amp;M costs'!$O$22),'2 Sampling Cost'!$O$13,IF(AF46&lt;'1 Reclamation and O&amp;M costs'!$O$24,'2 Sampling Cost'!$O$14,'2 Sampling Cost'!$O$15)))*(1+$S$8)</f>
        <v>3594.3250000000003</v>
      </c>
      <c r="AH46" s="106"/>
      <c r="AI46" s="105">
        <f t="shared" ca="1" si="10"/>
        <v>3594.3250000000003</v>
      </c>
      <c r="AJ46" s="106"/>
    </row>
    <row r="47" spans="2:36" x14ac:dyDescent="0.25">
      <c r="B47" s="365">
        <f>1+B46</f>
        <v>35</v>
      </c>
      <c r="C47" s="354">
        <f t="shared" ca="1" si="1"/>
        <v>0</v>
      </c>
      <c r="D47" s="354">
        <f t="shared" si="2"/>
        <v>0</v>
      </c>
      <c r="E47" s="354">
        <f t="shared" si="3"/>
        <v>3594.3250000000003</v>
      </c>
      <c r="F47" s="354">
        <f t="shared" ca="1" si="4"/>
        <v>3594.3250000000003</v>
      </c>
      <c r="M47" s="86">
        <f>1+M46</f>
        <v>34</v>
      </c>
      <c r="N47" s="105">
        <f>SUMIF('1 Reclamation and O&amp;M costs'!$N$28:$N$37,M47,'1 Reclamation and O&amp;M costs'!$P$28:$P$37)*($S$7+1)</f>
        <v>0</v>
      </c>
      <c r="O47" s="106">
        <f>SUMIF('1 Reclamation and O&amp;M costs'!$M$28:$M$37,"&gt;="&amp;M47,'1 Reclamation and O&amp;M costs'!$R$28:$R$37)*($S$8+1)</f>
        <v>0</v>
      </c>
      <c r="P47" s="86"/>
      <c r="Q47" s="86">
        <f>1+Q46</f>
        <v>34</v>
      </c>
      <c r="R47" s="105">
        <f>SUMIF('1 Reclamation and O&amp;M costs'!$J$45:$J$60,'3 WM cash flow'!Q47,'1 Reclamation and O&amp;M costs'!$P$70:$P$85)*(1+$S$8)</f>
        <v>0</v>
      </c>
      <c r="S47" s="106">
        <f>SUMIF('1 Reclamation and O&amp;M costs'!$I$45:$I$60,'3 WM cash flow'!Q47,'1 Reclamation and O&amp;M costs'!$S$70:$S$85)*(1+$S$7)</f>
        <v>0</v>
      </c>
      <c r="T47" s="105">
        <f>(IF('3 WM cash flow'!Q47&lt;=('1 Reclamation and O&amp;M costs'!$O$23-'1 Reclamation and O&amp;M costs'!$O$22),0,SUMIF('1 Reclamation and O&amp;M costs'!$I$45:$I$60,"&gt;="&amp;'3 WM cash flow'!Q47,'1 Reclamation and O&amp;M costs'!$N$70:$N$85))+IF('3 WM cash flow'!Q47&lt;=('1 Reclamation and O&amp;M costs'!$O$23-'1 Reclamation and O&amp;M costs'!$O$22),'1 Reclamation and O&amp;M costs'!$I$89,0))*(1+$S$8)</f>
        <v>0</v>
      </c>
      <c r="U47" s="106">
        <f>SUMIF('1 Reclamation and O&amp;M costs'!$I$45:$I$60,"&gt;="&amp;Q47,'1 Reclamation and O&amp;M costs'!$Q$70:$Q$85)*(1+$S$8)</f>
        <v>0</v>
      </c>
      <c r="V47" s="86"/>
      <c r="W47" s="86">
        <f t="shared" si="12"/>
        <v>34</v>
      </c>
      <c r="X47" s="105">
        <f ca="1">SUMIF('1 Reclamation and O&amp;M costs'!$L$95:$L$112,'3 WM cash flow'!W47,'1 Reclamation and O&amp;M costs'!P$112:$P127)*(1+$S$7)</f>
        <v>0</v>
      </c>
      <c r="Y47" s="106">
        <f>SUMIF('1 Reclamation and O&amp;M costs'!$K$95:$K$112,'3 WM cash flow'!W47,'1 Reclamation and O&amp;M costs'!$T$95:$T$112)*(1+$S$7)</f>
        <v>0</v>
      </c>
      <c r="Z47" s="105">
        <f>SUMIF('1 Reclamation and O&amp;M costs'!$K$95:$K$112,"&gt;="&amp;M47,'1 Reclamation and O&amp;M costs'!$R$95:$R$112)*(1+$S$8)</f>
        <v>0</v>
      </c>
      <c r="AA47" s="106"/>
      <c r="AB47" s="86">
        <f t="shared" si="8"/>
        <v>34</v>
      </c>
      <c r="AC47" s="105">
        <f>SUMIF('1 Reclamation and O&amp;M costs'!$H$122:$H$132,'3 WM cash flow'!AB47,'1 Reclamation and O&amp;M costs'!$Q$122:$Q$132)*(1+$S$7)</f>
        <v>0</v>
      </c>
      <c r="AD47" s="106">
        <f>SUMIF('1 Reclamation and O&amp;M costs'!$H$122:$H$132,"&gt;="&amp;AB47,'1 Reclamation and O&amp;M costs'!$O$122:$O$132)*(1+$S$8)</f>
        <v>0</v>
      </c>
      <c r="AE47" s="108"/>
      <c r="AF47" s="86">
        <f t="shared" si="9"/>
        <v>34</v>
      </c>
      <c r="AG47" s="105">
        <f>(IF(AF47&lt;('1 Reclamation and O&amp;M costs'!$O$23-'1 Reclamation and O&amp;M costs'!$O$22),'2 Sampling Cost'!$O$13,IF(AF47&lt;'1 Reclamation and O&amp;M costs'!$O$24,'2 Sampling Cost'!$O$14,'2 Sampling Cost'!$O$15)))*(1+$S$8)</f>
        <v>3594.3250000000003</v>
      </c>
      <c r="AH47" s="106"/>
      <c r="AI47" s="105">
        <f t="shared" ca="1" si="10"/>
        <v>3594.3250000000003</v>
      </c>
      <c r="AJ47" s="106"/>
    </row>
    <row r="48" spans="2:36" x14ac:dyDescent="0.25">
      <c r="B48" s="365">
        <f t="shared" ref="B48:B111" si="13">1+B47</f>
        <v>36</v>
      </c>
      <c r="C48" s="354">
        <f t="shared" ca="1" si="1"/>
        <v>0</v>
      </c>
      <c r="D48" s="354">
        <f t="shared" si="2"/>
        <v>0</v>
      </c>
      <c r="E48" s="354">
        <f t="shared" si="3"/>
        <v>3594.3250000000003</v>
      </c>
      <c r="F48" s="354">
        <f t="shared" ca="1" si="4"/>
        <v>3594.3250000000003</v>
      </c>
      <c r="M48" s="86">
        <f t="shared" ref="M48:M111" si="14">1+M47</f>
        <v>35</v>
      </c>
      <c r="N48" s="105">
        <f>SUMIF('1 Reclamation and O&amp;M costs'!$N$28:$N$37,M48,'1 Reclamation and O&amp;M costs'!$P$28:$P$37)*($S$7+1)</f>
        <v>0</v>
      </c>
      <c r="O48" s="106">
        <f>SUMIF('1 Reclamation and O&amp;M costs'!$M$28:$M$37,"&gt;="&amp;M48,'1 Reclamation and O&amp;M costs'!$R$28:$R$37)*($S$8+1)</f>
        <v>0</v>
      </c>
      <c r="P48" s="86"/>
      <c r="Q48" s="86">
        <f t="shared" si="11"/>
        <v>35</v>
      </c>
      <c r="R48" s="105">
        <f>SUMIF('1 Reclamation and O&amp;M costs'!$J$45:$J$60,'3 WM cash flow'!Q48,'1 Reclamation and O&amp;M costs'!$P$70:$P$85)*(1+$S$8)</f>
        <v>0</v>
      </c>
      <c r="S48" s="106">
        <f>SUMIF('1 Reclamation and O&amp;M costs'!$I$45:$I$60,'3 WM cash flow'!Q48,'1 Reclamation and O&amp;M costs'!$S$70:$S$85)*(1+$S$7)</f>
        <v>0</v>
      </c>
      <c r="T48" s="105">
        <f>(IF('3 WM cash flow'!Q48&lt;=('1 Reclamation and O&amp;M costs'!$O$23-'1 Reclamation and O&amp;M costs'!$O$22),0,SUMIF('1 Reclamation and O&amp;M costs'!$I$45:$I$60,"&gt;="&amp;'3 WM cash flow'!Q48,'1 Reclamation and O&amp;M costs'!$N$70:$N$85))+IF('3 WM cash flow'!Q48&lt;=('1 Reclamation and O&amp;M costs'!$O$23-'1 Reclamation and O&amp;M costs'!$O$22),'1 Reclamation and O&amp;M costs'!$I$89,0))*(1+$S$8)</f>
        <v>0</v>
      </c>
      <c r="U48" s="106">
        <f>SUMIF('1 Reclamation and O&amp;M costs'!$I$45:$I$60,"&gt;="&amp;Q48,'1 Reclamation and O&amp;M costs'!$Q$70:$Q$85)*(1+$S$8)</f>
        <v>0</v>
      </c>
      <c r="V48" s="86"/>
      <c r="W48" s="86">
        <f t="shared" si="12"/>
        <v>35</v>
      </c>
      <c r="X48" s="105">
        <f ca="1">SUMIF('1 Reclamation and O&amp;M costs'!$L$95:$L$112,'3 WM cash flow'!W48,'1 Reclamation and O&amp;M costs'!P$112:$P128)*(1+$S$7)</f>
        <v>0</v>
      </c>
      <c r="Y48" s="106">
        <f>SUMIF('1 Reclamation and O&amp;M costs'!$K$95:$K$112,'3 WM cash flow'!W48,'1 Reclamation and O&amp;M costs'!$T$95:$T$112)*(1+$S$7)</f>
        <v>0</v>
      </c>
      <c r="Z48" s="105">
        <f>SUMIF('1 Reclamation and O&amp;M costs'!$K$95:$K$112,"&gt;="&amp;M48,'1 Reclamation and O&amp;M costs'!$R$95:$R$112)*(1+$S$8)</f>
        <v>0</v>
      </c>
      <c r="AA48" s="106"/>
      <c r="AB48" s="86">
        <f t="shared" si="8"/>
        <v>35</v>
      </c>
      <c r="AC48" s="105">
        <f>SUMIF('1 Reclamation and O&amp;M costs'!$H$122:$H$132,'3 WM cash flow'!AB48,'1 Reclamation and O&amp;M costs'!$Q$122:$Q$132)*(1+$S$7)</f>
        <v>0</v>
      </c>
      <c r="AD48" s="106">
        <f>SUMIF('1 Reclamation and O&amp;M costs'!$H$122:$H$132,"&gt;="&amp;AB48,'1 Reclamation and O&amp;M costs'!$O$122:$O$132)*(1+$S$8)</f>
        <v>0</v>
      </c>
      <c r="AE48" s="108"/>
      <c r="AF48" s="86">
        <f t="shared" si="9"/>
        <v>35</v>
      </c>
      <c r="AG48" s="105">
        <f>(IF(AF48&lt;('1 Reclamation and O&amp;M costs'!$O$23-'1 Reclamation and O&amp;M costs'!$O$22),'2 Sampling Cost'!$O$13,IF(AF48&lt;'1 Reclamation and O&amp;M costs'!$O$24,'2 Sampling Cost'!$O$14,'2 Sampling Cost'!$O$15)))*(1+$S$8)</f>
        <v>3594.3250000000003</v>
      </c>
      <c r="AH48" s="106"/>
      <c r="AI48" s="105">
        <f t="shared" ca="1" si="10"/>
        <v>3594.3250000000003</v>
      </c>
      <c r="AJ48" s="106"/>
    </row>
    <row r="49" spans="2:36" x14ac:dyDescent="0.25">
      <c r="B49" s="365">
        <f t="shared" si="13"/>
        <v>37</v>
      </c>
      <c r="C49" s="354">
        <f t="shared" si="1"/>
        <v>0</v>
      </c>
      <c r="D49" s="354">
        <f t="shared" si="2"/>
        <v>0</v>
      </c>
      <c r="E49" s="354">
        <f t="shared" si="3"/>
        <v>3594.3250000000003</v>
      </c>
      <c r="F49" s="354">
        <f t="shared" si="4"/>
        <v>3594.3250000000003</v>
      </c>
      <c r="M49" s="86">
        <f t="shared" si="14"/>
        <v>36</v>
      </c>
      <c r="N49" s="105">
        <f>SUMIF('1 Reclamation and O&amp;M costs'!$N$28:$N$37,M49,'1 Reclamation and O&amp;M costs'!$P$28:$P$37)*($S$7+1)</f>
        <v>0</v>
      </c>
      <c r="O49" s="106">
        <f>SUMIF('1 Reclamation and O&amp;M costs'!$M$28:$M$37,"&gt;="&amp;M49,'1 Reclamation and O&amp;M costs'!$R$28:$R$37)*($S$8+1)</f>
        <v>0</v>
      </c>
      <c r="P49" s="86"/>
      <c r="Q49" s="86">
        <f t="shared" si="11"/>
        <v>36</v>
      </c>
      <c r="R49" s="105">
        <f>SUMIF('1 Reclamation and O&amp;M costs'!$J$45:$J$60,'3 WM cash flow'!Q49,'1 Reclamation and O&amp;M costs'!$P$70:$P$85)*(1+$S$8)</f>
        <v>0</v>
      </c>
      <c r="S49" s="106">
        <f>SUMIF('1 Reclamation and O&amp;M costs'!$I$45:$I$60,'3 WM cash flow'!Q49,'1 Reclamation and O&amp;M costs'!$S$70:$S$85)*(1+$S$7)</f>
        <v>0</v>
      </c>
      <c r="T49" s="105">
        <f>(IF('3 WM cash flow'!Q49&lt;=('1 Reclamation and O&amp;M costs'!$O$23-'1 Reclamation and O&amp;M costs'!$O$22),0,SUMIF('1 Reclamation and O&amp;M costs'!$I$45:$I$60,"&gt;="&amp;'3 WM cash flow'!Q49,'1 Reclamation and O&amp;M costs'!$N$70:$N$85))+IF('3 WM cash flow'!Q49&lt;=('1 Reclamation and O&amp;M costs'!$O$23-'1 Reclamation and O&amp;M costs'!$O$22),'1 Reclamation and O&amp;M costs'!$I$89,0))*(1+$S$8)</f>
        <v>0</v>
      </c>
      <c r="U49" s="106">
        <f>SUMIF('1 Reclamation and O&amp;M costs'!$I$45:$I$60,"&gt;="&amp;Q49,'1 Reclamation and O&amp;M costs'!$Q$70:$Q$85)*(1+$S$8)</f>
        <v>0</v>
      </c>
      <c r="V49" s="86"/>
      <c r="W49" s="86">
        <f t="shared" si="12"/>
        <v>36</v>
      </c>
      <c r="X49" s="105">
        <f>SUMIF('1 Reclamation and O&amp;M costs'!$L$95:$L$112,'3 WM cash flow'!W49,'1 Reclamation and O&amp;M costs'!P$112:$P129)*(1+$S$7)</f>
        <v>0</v>
      </c>
      <c r="Y49" s="106">
        <f>SUMIF('1 Reclamation and O&amp;M costs'!$K$95:$K$112,'3 WM cash flow'!W49,'1 Reclamation and O&amp;M costs'!$T$95:$T$112)*(1+$S$7)</f>
        <v>0</v>
      </c>
      <c r="Z49" s="105">
        <f>SUMIF('1 Reclamation and O&amp;M costs'!$K$95:$K$112,"&gt;="&amp;M49,'1 Reclamation and O&amp;M costs'!$R$95:$R$112)*(1+$S$8)</f>
        <v>0</v>
      </c>
      <c r="AA49" s="106"/>
      <c r="AB49" s="86">
        <f t="shared" si="8"/>
        <v>36</v>
      </c>
      <c r="AC49" s="105">
        <f>SUMIF('1 Reclamation and O&amp;M costs'!$H$122:$H$132,'3 WM cash flow'!AB49,'1 Reclamation and O&amp;M costs'!$Q$122:$Q$132)*(1+$S$7)</f>
        <v>0</v>
      </c>
      <c r="AD49" s="106">
        <f>SUMIF('1 Reclamation and O&amp;M costs'!$H$122:$H$132,"&gt;="&amp;AB49,'1 Reclamation and O&amp;M costs'!$O$122:$O$132)*(1+$S$8)</f>
        <v>0</v>
      </c>
      <c r="AE49" s="108"/>
      <c r="AF49" s="86">
        <f t="shared" si="9"/>
        <v>36</v>
      </c>
      <c r="AG49" s="105">
        <f>(IF(AF49&lt;('1 Reclamation and O&amp;M costs'!$O$23-'1 Reclamation and O&amp;M costs'!$O$22),'2 Sampling Cost'!$O$13,IF(AF49&lt;'1 Reclamation and O&amp;M costs'!$O$24,'2 Sampling Cost'!$O$14,'2 Sampling Cost'!$O$15)))*(1+$S$8)</f>
        <v>3594.3250000000003</v>
      </c>
      <c r="AH49" s="106"/>
      <c r="AI49" s="105">
        <f t="shared" si="10"/>
        <v>3594.3250000000003</v>
      </c>
      <c r="AJ49" s="106"/>
    </row>
    <row r="50" spans="2:36" x14ac:dyDescent="0.25">
      <c r="B50" s="365">
        <f t="shared" si="13"/>
        <v>38</v>
      </c>
      <c r="C50" s="354">
        <f t="shared" si="1"/>
        <v>0</v>
      </c>
      <c r="D50" s="354">
        <f t="shared" si="2"/>
        <v>0</v>
      </c>
      <c r="E50" s="354">
        <f t="shared" si="3"/>
        <v>3594.3250000000003</v>
      </c>
      <c r="F50" s="354">
        <f t="shared" si="4"/>
        <v>3594.3250000000003</v>
      </c>
      <c r="M50" s="86">
        <f t="shared" si="14"/>
        <v>37</v>
      </c>
      <c r="N50" s="105">
        <f>SUMIF('1 Reclamation and O&amp;M costs'!$N$28:$N$37,M50,'1 Reclamation and O&amp;M costs'!$P$28:$P$37)*($S$7+1)</f>
        <v>0</v>
      </c>
      <c r="O50" s="106">
        <f>SUMIF('1 Reclamation and O&amp;M costs'!$M$28:$M$37,"&gt;="&amp;M50,'1 Reclamation and O&amp;M costs'!$R$28:$R$37)*($S$8+1)</f>
        <v>0</v>
      </c>
      <c r="P50" s="86"/>
      <c r="Q50" s="86">
        <f t="shared" si="11"/>
        <v>37</v>
      </c>
      <c r="R50" s="105">
        <f>SUMIF('1 Reclamation and O&amp;M costs'!$J$45:$J$60,'3 WM cash flow'!Q50,'1 Reclamation and O&amp;M costs'!$P$70:$P$85)*(1+$S$8)</f>
        <v>0</v>
      </c>
      <c r="S50" s="106">
        <f>SUMIF('1 Reclamation and O&amp;M costs'!$I$45:$I$60,'3 WM cash flow'!Q50,'1 Reclamation and O&amp;M costs'!$S$70:$S$85)*(1+$S$7)</f>
        <v>0</v>
      </c>
      <c r="T50" s="105">
        <f>(IF('3 WM cash flow'!Q50&lt;=('1 Reclamation and O&amp;M costs'!$O$23-'1 Reclamation and O&amp;M costs'!$O$22),0,SUMIF('1 Reclamation and O&amp;M costs'!$I$45:$I$60,"&gt;="&amp;'3 WM cash flow'!Q50,'1 Reclamation and O&amp;M costs'!$N$70:$N$85))+IF('3 WM cash flow'!Q50&lt;=('1 Reclamation and O&amp;M costs'!$O$23-'1 Reclamation and O&amp;M costs'!$O$22),'1 Reclamation and O&amp;M costs'!$I$89,0))*(1+$S$8)</f>
        <v>0</v>
      </c>
      <c r="U50" s="106">
        <f>SUMIF('1 Reclamation and O&amp;M costs'!$I$45:$I$60,"&gt;="&amp;Q50,'1 Reclamation and O&amp;M costs'!$Q$70:$Q$85)*(1+$S$8)</f>
        <v>0</v>
      </c>
      <c r="V50" s="86"/>
      <c r="W50" s="86">
        <f t="shared" si="12"/>
        <v>37</v>
      </c>
      <c r="X50" s="105">
        <f>SUMIF('1 Reclamation and O&amp;M costs'!$L$95:$L$112,'3 WM cash flow'!W50,'1 Reclamation and O&amp;M costs'!P$112:$P130)*(1+$S$7)</f>
        <v>0</v>
      </c>
      <c r="Y50" s="106">
        <f>SUMIF('1 Reclamation and O&amp;M costs'!$K$95:$K$112,'3 WM cash flow'!W50,'1 Reclamation and O&amp;M costs'!$T$95:$T$112)*(1+$S$7)</f>
        <v>0</v>
      </c>
      <c r="Z50" s="105">
        <f>SUMIF('1 Reclamation and O&amp;M costs'!$K$95:$K$112,"&gt;="&amp;M50,'1 Reclamation and O&amp;M costs'!$R$95:$R$112)*(1+$S$8)</f>
        <v>0</v>
      </c>
      <c r="AA50" s="106"/>
      <c r="AB50" s="86">
        <f t="shared" si="8"/>
        <v>37</v>
      </c>
      <c r="AC50" s="105">
        <f>SUMIF('1 Reclamation and O&amp;M costs'!$H$122:$H$132,'3 WM cash flow'!AB50,'1 Reclamation and O&amp;M costs'!$Q$122:$Q$132)*(1+$S$7)</f>
        <v>0</v>
      </c>
      <c r="AD50" s="106">
        <f>SUMIF('1 Reclamation and O&amp;M costs'!$H$122:$H$132,"&gt;="&amp;AB50,'1 Reclamation and O&amp;M costs'!$O$122:$O$132)*(1+$S$8)</f>
        <v>0</v>
      </c>
      <c r="AE50" s="108"/>
      <c r="AF50" s="86">
        <f t="shared" si="9"/>
        <v>37</v>
      </c>
      <c r="AG50" s="105">
        <f>(IF(AF50&lt;('1 Reclamation and O&amp;M costs'!$O$23-'1 Reclamation and O&amp;M costs'!$O$22),'2 Sampling Cost'!$O$13,IF(AF50&lt;'1 Reclamation and O&amp;M costs'!$O$24,'2 Sampling Cost'!$O$14,'2 Sampling Cost'!$O$15)))*(1+$S$8)</f>
        <v>3594.3250000000003</v>
      </c>
      <c r="AH50" s="106"/>
      <c r="AI50" s="105">
        <f t="shared" si="10"/>
        <v>3594.3250000000003</v>
      </c>
      <c r="AJ50" s="106"/>
    </row>
    <row r="51" spans="2:36" x14ac:dyDescent="0.25">
      <c r="B51" s="365">
        <f t="shared" si="13"/>
        <v>39</v>
      </c>
      <c r="C51" s="354">
        <f t="shared" si="1"/>
        <v>0</v>
      </c>
      <c r="D51" s="354">
        <f t="shared" si="2"/>
        <v>0</v>
      </c>
      <c r="E51" s="354">
        <f t="shared" si="3"/>
        <v>3594.3250000000003</v>
      </c>
      <c r="F51" s="354">
        <f t="shared" si="4"/>
        <v>3594.3250000000003</v>
      </c>
      <c r="M51" s="86">
        <f t="shared" si="14"/>
        <v>38</v>
      </c>
      <c r="N51" s="105">
        <f>SUMIF('1 Reclamation and O&amp;M costs'!$N$28:$N$37,M51,'1 Reclamation and O&amp;M costs'!$P$28:$P$37)*($S$7+1)</f>
        <v>0</v>
      </c>
      <c r="O51" s="106">
        <f>SUMIF('1 Reclamation and O&amp;M costs'!$M$28:$M$37,"&gt;="&amp;M51,'1 Reclamation and O&amp;M costs'!$R$28:$R$37)*($S$8+1)</f>
        <v>0</v>
      </c>
      <c r="P51" s="86"/>
      <c r="Q51" s="86">
        <f t="shared" si="11"/>
        <v>38</v>
      </c>
      <c r="R51" s="105">
        <f>SUMIF('1 Reclamation and O&amp;M costs'!$J$45:$J$60,'3 WM cash flow'!Q51,'1 Reclamation and O&amp;M costs'!$P$70:$P$85)*(1+$S$8)</f>
        <v>0</v>
      </c>
      <c r="S51" s="106">
        <f>SUMIF('1 Reclamation and O&amp;M costs'!$I$45:$I$60,'3 WM cash flow'!Q51,'1 Reclamation and O&amp;M costs'!$S$70:$S$85)*(1+$S$7)</f>
        <v>0</v>
      </c>
      <c r="T51" s="105">
        <f>(IF('3 WM cash flow'!Q51&lt;=('1 Reclamation and O&amp;M costs'!$O$23-'1 Reclamation and O&amp;M costs'!$O$22),0,SUMIF('1 Reclamation and O&amp;M costs'!$I$45:$I$60,"&gt;="&amp;'3 WM cash flow'!Q51,'1 Reclamation and O&amp;M costs'!$N$70:$N$85))+IF('3 WM cash flow'!Q51&lt;=('1 Reclamation and O&amp;M costs'!$O$23-'1 Reclamation and O&amp;M costs'!$O$22),'1 Reclamation and O&amp;M costs'!$I$89,0))*(1+$S$8)</f>
        <v>0</v>
      </c>
      <c r="U51" s="106">
        <f>SUMIF('1 Reclamation and O&amp;M costs'!$I$45:$I$60,"&gt;="&amp;Q51,'1 Reclamation and O&amp;M costs'!$Q$70:$Q$85)*(1+$S$8)</f>
        <v>0</v>
      </c>
      <c r="V51" s="86"/>
      <c r="W51" s="86">
        <f t="shared" si="12"/>
        <v>38</v>
      </c>
      <c r="X51" s="105">
        <f>SUMIF('1 Reclamation and O&amp;M costs'!$L$95:$L$112,'3 WM cash flow'!W51,'1 Reclamation and O&amp;M costs'!P$112:$P131)*(1+$S$7)</f>
        <v>0</v>
      </c>
      <c r="Y51" s="106">
        <f>SUMIF('1 Reclamation and O&amp;M costs'!$K$95:$K$112,'3 WM cash flow'!W51,'1 Reclamation and O&amp;M costs'!$T$95:$T$112)*(1+$S$7)</f>
        <v>0</v>
      </c>
      <c r="Z51" s="105">
        <f>SUMIF('1 Reclamation and O&amp;M costs'!$K$95:$K$112,"&gt;="&amp;M51,'1 Reclamation and O&amp;M costs'!$R$95:$R$112)*(1+$S$8)</f>
        <v>0</v>
      </c>
      <c r="AA51" s="106"/>
      <c r="AB51" s="86">
        <f t="shared" si="8"/>
        <v>38</v>
      </c>
      <c r="AC51" s="105">
        <f>SUMIF('1 Reclamation and O&amp;M costs'!$H$122:$H$132,'3 WM cash flow'!AB51,'1 Reclamation and O&amp;M costs'!$Q$122:$Q$132)*(1+$S$7)</f>
        <v>0</v>
      </c>
      <c r="AD51" s="106">
        <f>SUMIF('1 Reclamation and O&amp;M costs'!$H$122:$H$132,"&gt;="&amp;AB51,'1 Reclamation and O&amp;M costs'!$O$122:$O$132)*(1+$S$8)</f>
        <v>0</v>
      </c>
      <c r="AE51" s="108"/>
      <c r="AF51" s="86">
        <f t="shared" si="9"/>
        <v>38</v>
      </c>
      <c r="AG51" s="105">
        <f>(IF(AF51&lt;('1 Reclamation and O&amp;M costs'!$O$23-'1 Reclamation and O&amp;M costs'!$O$22),'2 Sampling Cost'!$O$13,IF(AF51&lt;'1 Reclamation and O&amp;M costs'!$O$24,'2 Sampling Cost'!$O$14,'2 Sampling Cost'!$O$15)))*(1+$S$8)</f>
        <v>3594.3250000000003</v>
      </c>
      <c r="AH51" s="106"/>
      <c r="AI51" s="105">
        <f t="shared" si="10"/>
        <v>3594.3250000000003</v>
      </c>
      <c r="AJ51" s="106"/>
    </row>
    <row r="52" spans="2:36" x14ac:dyDescent="0.25">
      <c r="B52" s="365">
        <f t="shared" si="13"/>
        <v>40</v>
      </c>
      <c r="C52" s="354">
        <f t="shared" si="1"/>
        <v>0</v>
      </c>
      <c r="D52" s="354">
        <f t="shared" si="2"/>
        <v>0</v>
      </c>
      <c r="E52" s="354">
        <f t="shared" si="3"/>
        <v>3594.3250000000003</v>
      </c>
      <c r="F52" s="354">
        <f t="shared" si="4"/>
        <v>3594.3250000000003</v>
      </c>
      <c r="M52" s="86">
        <f t="shared" si="14"/>
        <v>39</v>
      </c>
      <c r="N52" s="105">
        <f>SUMIF('1 Reclamation and O&amp;M costs'!$N$28:$N$37,M52,'1 Reclamation and O&amp;M costs'!$P$28:$P$37)*($S$7+1)</f>
        <v>0</v>
      </c>
      <c r="O52" s="106">
        <f>SUMIF('1 Reclamation and O&amp;M costs'!$M$28:$M$37,"&gt;="&amp;M52,'1 Reclamation and O&amp;M costs'!$R$28:$R$37)*($S$8+1)</f>
        <v>0</v>
      </c>
      <c r="P52" s="86"/>
      <c r="Q52" s="86">
        <f t="shared" si="11"/>
        <v>39</v>
      </c>
      <c r="R52" s="105">
        <f>SUMIF('1 Reclamation and O&amp;M costs'!$J$45:$J$60,'3 WM cash flow'!Q52,'1 Reclamation and O&amp;M costs'!$P$70:$P$85)*(1+$S$8)</f>
        <v>0</v>
      </c>
      <c r="S52" s="106">
        <f>SUMIF('1 Reclamation and O&amp;M costs'!$I$45:$I$60,'3 WM cash flow'!Q52,'1 Reclamation and O&amp;M costs'!$S$70:$S$85)*(1+$S$7)</f>
        <v>0</v>
      </c>
      <c r="T52" s="105">
        <f>(IF('3 WM cash flow'!Q52&lt;=('1 Reclamation and O&amp;M costs'!$O$23-'1 Reclamation and O&amp;M costs'!$O$22),0,SUMIF('1 Reclamation and O&amp;M costs'!$I$45:$I$60,"&gt;="&amp;'3 WM cash flow'!Q52,'1 Reclamation and O&amp;M costs'!$N$70:$N$85))+IF('3 WM cash flow'!Q52&lt;=('1 Reclamation and O&amp;M costs'!$O$23-'1 Reclamation and O&amp;M costs'!$O$22),'1 Reclamation and O&amp;M costs'!$I$89,0))*(1+$S$8)</f>
        <v>0</v>
      </c>
      <c r="U52" s="106">
        <f>SUMIF('1 Reclamation and O&amp;M costs'!$I$45:$I$60,"&gt;="&amp;Q52,'1 Reclamation and O&amp;M costs'!$Q$70:$Q$85)*(1+$S$8)</f>
        <v>0</v>
      </c>
      <c r="V52" s="86"/>
      <c r="W52" s="86">
        <f t="shared" si="12"/>
        <v>39</v>
      </c>
      <c r="X52" s="105">
        <f>SUMIF('1 Reclamation and O&amp;M costs'!$L$95:$L$112,'3 WM cash flow'!W52,'1 Reclamation and O&amp;M costs'!P$112:$P132)*(1+$S$7)</f>
        <v>0</v>
      </c>
      <c r="Y52" s="106">
        <f>SUMIF('1 Reclamation and O&amp;M costs'!$K$95:$K$112,'3 WM cash flow'!W52,'1 Reclamation and O&amp;M costs'!$T$95:$T$112)*(1+$S$7)</f>
        <v>0</v>
      </c>
      <c r="Z52" s="105">
        <f>SUMIF('1 Reclamation and O&amp;M costs'!$K$95:$K$112,"&gt;="&amp;M52,'1 Reclamation and O&amp;M costs'!$R$95:$R$112)*(1+$S$8)</f>
        <v>0</v>
      </c>
      <c r="AA52" s="106"/>
      <c r="AB52" s="86">
        <f t="shared" si="8"/>
        <v>39</v>
      </c>
      <c r="AC52" s="105">
        <f>SUMIF('1 Reclamation and O&amp;M costs'!$H$122:$H$132,'3 WM cash flow'!AB52,'1 Reclamation and O&amp;M costs'!$Q$122:$Q$132)*(1+$S$7)</f>
        <v>0</v>
      </c>
      <c r="AD52" s="106">
        <f>SUMIF('1 Reclamation and O&amp;M costs'!$H$122:$H$132,"&gt;="&amp;AB52,'1 Reclamation and O&amp;M costs'!$O$122:$O$132)*(1+$S$8)</f>
        <v>0</v>
      </c>
      <c r="AE52" s="108"/>
      <c r="AF52" s="86">
        <f t="shared" si="9"/>
        <v>39</v>
      </c>
      <c r="AG52" s="105">
        <f>(IF(AF52&lt;('1 Reclamation and O&amp;M costs'!$O$23-'1 Reclamation and O&amp;M costs'!$O$22),'2 Sampling Cost'!$O$13,IF(AF52&lt;'1 Reclamation and O&amp;M costs'!$O$24,'2 Sampling Cost'!$O$14,'2 Sampling Cost'!$O$15)))*(1+$S$8)</f>
        <v>3594.3250000000003</v>
      </c>
      <c r="AH52" s="106"/>
      <c r="AI52" s="105">
        <f t="shared" si="10"/>
        <v>3594.3250000000003</v>
      </c>
      <c r="AJ52" s="106"/>
    </row>
    <row r="53" spans="2:36" x14ac:dyDescent="0.25">
      <c r="B53" s="365">
        <f t="shared" si="13"/>
        <v>41</v>
      </c>
      <c r="C53" s="354">
        <f t="shared" si="1"/>
        <v>0</v>
      </c>
      <c r="D53" s="354">
        <f t="shared" si="2"/>
        <v>0</v>
      </c>
      <c r="E53" s="354">
        <f t="shared" si="3"/>
        <v>3594.3250000000003</v>
      </c>
      <c r="F53" s="354">
        <f t="shared" si="4"/>
        <v>3594.3250000000003</v>
      </c>
      <c r="M53" s="86">
        <f t="shared" si="14"/>
        <v>40</v>
      </c>
      <c r="N53" s="105">
        <f>SUMIF('1 Reclamation and O&amp;M costs'!$N$28:$N$37,M53,'1 Reclamation and O&amp;M costs'!$P$28:$P$37)*($S$7+1)</f>
        <v>0</v>
      </c>
      <c r="O53" s="106">
        <f>SUMIF('1 Reclamation and O&amp;M costs'!$M$28:$M$37,"&gt;="&amp;M53,'1 Reclamation and O&amp;M costs'!$R$28:$R$37)*($S$8+1)</f>
        <v>0</v>
      </c>
      <c r="P53" s="86"/>
      <c r="Q53" s="86">
        <f t="shared" si="11"/>
        <v>40</v>
      </c>
      <c r="R53" s="105">
        <f>SUMIF('1 Reclamation and O&amp;M costs'!$J$45:$J$60,'3 WM cash flow'!Q53,'1 Reclamation and O&amp;M costs'!$P$70:$P$85)*(1+$S$8)</f>
        <v>0</v>
      </c>
      <c r="S53" s="106">
        <f>SUMIF('1 Reclamation and O&amp;M costs'!$I$45:$I$60,'3 WM cash flow'!Q53,'1 Reclamation and O&amp;M costs'!$S$70:$S$85)*(1+$S$7)</f>
        <v>0</v>
      </c>
      <c r="T53" s="105">
        <f>(IF('3 WM cash flow'!Q53&lt;=('1 Reclamation and O&amp;M costs'!$O$23-'1 Reclamation and O&amp;M costs'!$O$22),0,SUMIF('1 Reclamation and O&amp;M costs'!$I$45:$I$60,"&gt;="&amp;'3 WM cash flow'!Q53,'1 Reclamation and O&amp;M costs'!$N$70:$N$85))+IF('3 WM cash flow'!Q53&lt;=('1 Reclamation and O&amp;M costs'!$O$23-'1 Reclamation and O&amp;M costs'!$O$22),'1 Reclamation and O&amp;M costs'!$I$89,0))*(1+$S$8)</f>
        <v>0</v>
      </c>
      <c r="U53" s="106">
        <f>SUMIF('1 Reclamation and O&amp;M costs'!$I$45:$I$60,"&gt;="&amp;Q53,'1 Reclamation and O&amp;M costs'!$Q$70:$Q$85)*(1+$S$8)</f>
        <v>0</v>
      </c>
      <c r="V53" s="86"/>
      <c r="W53" s="86">
        <f t="shared" si="12"/>
        <v>40</v>
      </c>
      <c r="X53" s="105">
        <f>SUMIF('1 Reclamation and O&amp;M costs'!$L$95:$L$112,'3 WM cash flow'!W53,'1 Reclamation and O&amp;M costs'!P$112:$P133)*(1+$S$7)</f>
        <v>0</v>
      </c>
      <c r="Y53" s="106">
        <f>SUMIF('1 Reclamation and O&amp;M costs'!$K$95:$K$112,'3 WM cash flow'!W53,'1 Reclamation and O&amp;M costs'!$T$95:$T$112)*(1+$S$7)</f>
        <v>0</v>
      </c>
      <c r="Z53" s="105">
        <f>SUMIF('1 Reclamation and O&amp;M costs'!$K$95:$K$112,"&gt;="&amp;M53,'1 Reclamation and O&amp;M costs'!$R$95:$R$112)*(1+$S$8)</f>
        <v>0</v>
      </c>
      <c r="AA53" s="106"/>
      <c r="AB53" s="86">
        <f t="shared" si="8"/>
        <v>40</v>
      </c>
      <c r="AC53" s="105">
        <f>SUMIF('1 Reclamation and O&amp;M costs'!$H$122:$H$132,'3 WM cash flow'!AB53,'1 Reclamation and O&amp;M costs'!$Q$122:$Q$132)*(1+$S$7)</f>
        <v>0</v>
      </c>
      <c r="AD53" s="106">
        <f>SUMIF('1 Reclamation and O&amp;M costs'!$H$122:$H$132,"&gt;="&amp;AB53,'1 Reclamation and O&amp;M costs'!$O$122:$O$132)*(1+$S$8)</f>
        <v>0</v>
      </c>
      <c r="AE53" s="108"/>
      <c r="AF53" s="86">
        <f t="shared" si="9"/>
        <v>40</v>
      </c>
      <c r="AG53" s="105">
        <f>(IF(AF53&lt;('1 Reclamation and O&amp;M costs'!$O$23-'1 Reclamation and O&amp;M costs'!$O$22),'2 Sampling Cost'!$O$13,IF(AF53&lt;'1 Reclamation and O&amp;M costs'!$O$24,'2 Sampling Cost'!$O$14,'2 Sampling Cost'!$O$15)))*(1+$S$8)</f>
        <v>3594.3250000000003</v>
      </c>
      <c r="AH53" s="106"/>
      <c r="AI53" s="105">
        <f t="shared" si="10"/>
        <v>3594.3250000000003</v>
      </c>
      <c r="AJ53" s="106"/>
    </row>
    <row r="54" spans="2:36" x14ac:dyDescent="0.25">
      <c r="B54" s="365">
        <f t="shared" si="13"/>
        <v>42</v>
      </c>
      <c r="C54" s="354">
        <f t="shared" si="1"/>
        <v>0</v>
      </c>
      <c r="D54" s="354">
        <f t="shared" si="2"/>
        <v>0</v>
      </c>
      <c r="E54" s="354">
        <f t="shared" si="3"/>
        <v>3594.3250000000003</v>
      </c>
      <c r="F54" s="354">
        <f t="shared" si="4"/>
        <v>3594.3250000000003</v>
      </c>
      <c r="M54" s="86">
        <f t="shared" si="14"/>
        <v>41</v>
      </c>
      <c r="N54" s="105">
        <f>SUMIF('1 Reclamation and O&amp;M costs'!$N$28:$N$37,M54,'1 Reclamation and O&amp;M costs'!$P$28:$P$37)*($S$7+1)</f>
        <v>0</v>
      </c>
      <c r="O54" s="106">
        <f>SUMIF('1 Reclamation and O&amp;M costs'!$M$28:$M$37,"&gt;="&amp;M54,'1 Reclamation and O&amp;M costs'!$R$28:$R$37)*($S$8+1)</f>
        <v>0</v>
      </c>
      <c r="P54" s="86"/>
      <c r="Q54" s="86">
        <f t="shared" si="11"/>
        <v>41</v>
      </c>
      <c r="R54" s="105">
        <f>SUMIF('1 Reclamation and O&amp;M costs'!$J$45:$J$60,'3 WM cash flow'!Q54,'1 Reclamation and O&amp;M costs'!$P$70:$P$85)*(1+$S$8)</f>
        <v>0</v>
      </c>
      <c r="S54" s="106">
        <f>SUMIF('1 Reclamation and O&amp;M costs'!$I$45:$I$60,'3 WM cash flow'!Q54,'1 Reclamation and O&amp;M costs'!$S$70:$S$85)*(1+$S$7)</f>
        <v>0</v>
      </c>
      <c r="T54" s="105">
        <f>(IF('3 WM cash flow'!Q54&lt;=('1 Reclamation and O&amp;M costs'!$O$23-'1 Reclamation and O&amp;M costs'!$O$22),0,SUMIF('1 Reclamation and O&amp;M costs'!$I$45:$I$60,"&gt;="&amp;'3 WM cash flow'!Q54,'1 Reclamation and O&amp;M costs'!$N$70:$N$85))+IF('3 WM cash flow'!Q54&lt;=('1 Reclamation and O&amp;M costs'!$O$23-'1 Reclamation and O&amp;M costs'!$O$22),'1 Reclamation and O&amp;M costs'!$I$89,0))*(1+$S$8)</f>
        <v>0</v>
      </c>
      <c r="U54" s="106">
        <f>SUMIF('1 Reclamation and O&amp;M costs'!$I$45:$I$60,"&gt;="&amp;Q54,'1 Reclamation and O&amp;M costs'!$Q$70:$Q$85)*(1+$S$8)</f>
        <v>0</v>
      </c>
      <c r="V54" s="86"/>
      <c r="W54" s="86">
        <f t="shared" si="12"/>
        <v>41</v>
      </c>
      <c r="X54" s="105">
        <f>SUMIF('1 Reclamation and O&amp;M costs'!$L$95:$L$112,'3 WM cash flow'!W54,'1 Reclamation and O&amp;M costs'!P$112:$P134)*(1+$S$7)</f>
        <v>0</v>
      </c>
      <c r="Y54" s="106">
        <f>SUMIF('1 Reclamation and O&amp;M costs'!$K$95:$K$112,'3 WM cash flow'!W54,'1 Reclamation and O&amp;M costs'!$T$95:$T$112)*(1+$S$7)</f>
        <v>0</v>
      </c>
      <c r="Z54" s="105">
        <f>SUMIF('1 Reclamation and O&amp;M costs'!$K$95:$K$112,"&gt;="&amp;M54,'1 Reclamation and O&amp;M costs'!$R$95:$R$112)*(1+$S$8)</f>
        <v>0</v>
      </c>
      <c r="AA54" s="106"/>
      <c r="AB54" s="86">
        <f t="shared" si="8"/>
        <v>41</v>
      </c>
      <c r="AC54" s="105">
        <f>SUMIF('1 Reclamation and O&amp;M costs'!$H$122:$H$132,'3 WM cash flow'!AB54,'1 Reclamation and O&amp;M costs'!$Q$122:$Q$132)*(1+$S$7)</f>
        <v>0</v>
      </c>
      <c r="AD54" s="106">
        <f>SUMIF('1 Reclamation and O&amp;M costs'!$H$122:$H$132,"&gt;="&amp;AB54,'1 Reclamation and O&amp;M costs'!$O$122:$O$132)*(1+$S$8)</f>
        <v>0</v>
      </c>
      <c r="AE54" s="108"/>
      <c r="AF54" s="86">
        <f t="shared" si="9"/>
        <v>41</v>
      </c>
      <c r="AG54" s="105">
        <f>(IF(AF54&lt;('1 Reclamation and O&amp;M costs'!$O$23-'1 Reclamation and O&amp;M costs'!$O$22),'2 Sampling Cost'!$O$13,IF(AF54&lt;'1 Reclamation and O&amp;M costs'!$O$24,'2 Sampling Cost'!$O$14,'2 Sampling Cost'!$O$15)))*(1+$S$8)</f>
        <v>3594.3250000000003</v>
      </c>
      <c r="AH54" s="106"/>
      <c r="AI54" s="105">
        <f t="shared" si="10"/>
        <v>3594.3250000000003</v>
      </c>
      <c r="AJ54" s="106"/>
    </row>
    <row r="55" spans="2:36" x14ac:dyDescent="0.25">
      <c r="B55" s="365">
        <f t="shared" si="13"/>
        <v>43</v>
      </c>
      <c r="C55" s="354">
        <f t="shared" si="1"/>
        <v>0</v>
      </c>
      <c r="D55" s="354">
        <f t="shared" si="2"/>
        <v>0</v>
      </c>
      <c r="E55" s="354">
        <f t="shared" si="3"/>
        <v>3594.3250000000003</v>
      </c>
      <c r="F55" s="354">
        <f t="shared" si="4"/>
        <v>3594.3250000000003</v>
      </c>
      <c r="M55" s="86">
        <f t="shared" si="14"/>
        <v>42</v>
      </c>
      <c r="N55" s="105">
        <f>SUMIF('1 Reclamation and O&amp;M costs'!$N$28:$N$37,M55,'1 Reclamation and O&amp;M costs'!$P$28:$P$37)*($S$7+1)</f>
        <v>0</v>
      </c>
      <c r="O55" s="106">
        <f>SUMIF('1 Reclamation and O&amp;M costs'!$M$28:$M$37,"&gt;="&amp;M55,'1 Reclamation and O&amp;M costs'!$R$28:$R$37)*($S$8+1)</f>
        <v>0</v>
      </c>
      <c r="P55" s="86"/>
      <c r="Q55" s="86">
        <f t="shared" si="11"/>
        <v>42</v>
      </c>
      <c r="R55" s="105">
        <f>SUMIF('1 Reclamation and O&amp;M costs'!$J$45:$J$60,'3 WM cash flow'!Q55,'1 Reclamation and O&amp;M costs'!$P$70:$P$85)*(1+$S$8)</f>
        <v>0</v>
      </c>
      <c r="S55" s="106">
        <f>SUMIF('1 Reclamation and O&amp;M costs'!$I$45:$I$60,'3 WM cash flow'!Q55,'1 Reclamation and O&amp;M costs'!$S$70:$S$85)*(1+$S$7)</f>
        <v>0</v>
      </c>
      <c r="T55" s="105">
        <f>(IF('3 WM cash flow'!Q55&lt;=('1 Reclamation and O&amp;M costs'!$O$23-'1 Reclamation and O&amp;M costs'!$O$22),0,SUMIF('1 Reclamation and O&amp;M costs'!$I$45:$I$60,"&gt;="&amp;'3 WM cash flow'!Q55,'1 Reclamation and O&amp;M costs'!$N$70:$N$85))+IF('3 WM cash flow'!Q55&lt;=('1 Reclamation and O&amp;M costs'!$O$23-'1 Reclamation and O&amp;M costs'!$O$22),'1 Reclamation and O&amp;M costs'!$I$89,0))*(1+$S$8)</f>
        <v>0</v>
      </c>
      <c r="U55" s="106">
        <f>SUMIF('1 Reclamation and O&amp;M costs'!$I$45:$I$60,"&gt;="&amp;Q55,'1 Reclamation and O&amp;M costs'!$Q$70:$Q$85)*(1+$S$8)</f>
        <v>0</v>
      </c>
      <c r="V55" s="86"/>
      <c r="W55" s="86">
        <f t="shared" si="12"/>
        <v>42</v>
      </c>
      <c r="X55" s="105">
        <f>SUMIF('1 Reclamation and O&amp;M costs'!$L$95:$L$112,'3 WM cash flow'!W55,'1 Reclamation and O&amp;M costs'!P$112:$P135)*(1+$S$7)</f>
        <v>0</v>
      </c>
      <c r="Y55" s="106">
        <f>SUMIF('1 Reclamation and O&amp;M costs'!$K$95:$K$112,'3 WM cash flow'!W55,'1 Reclamation and O&amp;M costs'!$T$95:$T$112)*(1+$S$7)</f>
        <v>0</v>
      </c>
      <c r="Z55" s="105">
        <f>SUMIF('1 Reclamation and O&amp;M costs'!$K$95:$K$112,"&gt;="&amp;M55,'1 Reclamation and O&amp;M costs'!$R$95:$R$112)*(1+$S$8)</f>
        <v>0</v>
      </c>
      <c r="AA55" s="106"/>
      <c r="AB55" s="86">
        <f t="shared" si="8"/>
        <v>42</v>
      </c>
      <c r="AC55" s="105">
        <f>SUMIF('1 Reclamation and O&amp;M costs'!$H$122:$H$132,'3 WM cash flow'!AB55,'1 Reclamation and O&amp;M costs'!$Q$122:$Q$132)*(1+$S$7)</f>
        <v>0</v>
      </c>
      <c r="AD55" s="106">
        <f>SUMIF('1 Reclamation and O&amp;M costs'!$H$122:$H$132,"&gt;="&amp;AB55,'1 Reclamation and O&amp;M costs'!$O$122:$O$132)*(1+$S$8)</f>
        <v>0</v>
      </c>
      <c r="AE55" s="108"/>
      <c r="AF55" s="86">
        <f t="shared" si="9"/>
        <v>42</v>
      </c>
      <c r="AG55" s="105">
        <f>(IF(AF55&lt;('1 Reclamation and O&amp;M costs'!$O$23-'1 Reclamation and O&amp;M costs'!$O$22),'2 Sampling Cost'!$O$13,IF(AF55&lt;'1 Reclamation and O&amp;M costs'!$O$24,'2 Sampling Cost'!$O$14,'2 Sampling Cost'!$O$15)))*(1+$S$8)</f>
        <v>3594.3250000000003</v>
      </c>
      <c r="AH55" s="106"/>
      <c r="AI55" s="105">
        <f t="shared" si="10"/>
        <v>3594.3250000000003</v>
      </c>
      <c r="AJ55" s="106"/>
    </row>
    <row r="56" spans="2:36" x14ac:dyDescent="0.25">
      <c r="B56" s="365">
        <f t="shared" si="13"/>
        <v>44</v>
      </c>
      <c r="C56" s="354">
        <f t="shared" si="1"/>
        <v>0</v>
      </c>
      <c r="D56" s="354">
        <f t="shared" si="2"/>
        <v>0</v>
      </c>
      <c r="E56" s="354">
        <f t="shared" si="3"/>
        <v>3594.3250000000003</v>
      </c>
      <c r="F56" s="354">
        <f t="shared" si="4"/>
        <v>3594.3250000000003</v>
      </c>
      <c r="M56" s="86">
        <f t="shared" si="14"/>
        <v>43</v>
      </c>
      <c r="N56" s="105">
        <f>SUMIF('1 Reclamation and O&amp;M costs'!$N$28:$N$37,M56,'1 Reclamation and O&amp;M costs'!$P$28:$P$37)*($S$7+1)</f>
        <v>0</v>
      </c>
      <c r="O56" s="106">
        <f>SUMIF('1 Reclamation and O&amp;M costs'!$M$28:$M$37,"&gt;="&amp;M56,'1 Reclamation and O&amp;M costs'!$R$28:$R$37)*($S$8+1)</f>
        <v>0</v>
      </c>
      <c r="P56" s="86"/>
      <c r="Q56" s="86">
        <f t="shared" si="11"/>
        <v>43</v>
      </c>
      <c r="R56" s="105">
        <f>SUMIF('1 Reclamation and O&amp;M costs'!$J$45:$J$60,'3 WM cash flow'!Q56,'1 Reclamation and O&amp;M costs'!$P$70:$P$85)*(1+$S$8)</f>
        <v>0</v>
      </c>
      <c r="S56" s="106">
        <f>SUMIF('1 Reclamation and O&amp;M costs'!$I$45:$I$60,'3 WM cash flow'!Q56,'1 Reclamation and O&amp;M costs'!$S$70:$S$85)*(1+$S$7)</f>
        <v>0</v>
      </c>
      <c r="T56" s="105">
        <f>(IF('3 WM cash flow'!Q56&lt;=('1 Reclamation and O&amp;M costs'!$O$23-'1 Reclamation and O&amp;M costs'!$O$22),0,SUMIF('1 Reclamation and O&amp;M costs'!$I$45:$I$60,"&gt;="&amp;'3 WM cash flow'!Q56,'1 Reclamation and O&amp;M costs'!$N$70:$N$85))+IF('3 WM cash flow'!Q56&lt;=('1 Reclamation and O&amp;M costs'!$O$23-'1 Reclamation and O&amp;M costs'!$O$22),'1 Reclamation and O&amp;M costs'!$I$89,0))*(1+$S$8)</f>
        <v>0</v>
      </c>
      <c r="U56" s="106">
        <f>SUMIF('1 Reclamation and O&amp;M costs'!$I$45:$I$60,"&gt;="&amp;Q56,'1 Reclamation and O&amp;M costs'!$Q$70:$Q$85)*(1+$S$8)</f>
        <v>0</v>
      </c>
      <c r="V56" s="86"/>
      <c r="W56" s="86">
        <f t="shared" si="12"/>
        <v>43</v>
      </c>
      <c r="X56" s="105">
        <f>SUMIF('1 Reclamation and O&amp;M costs'!$L$95:$L$112,'3 WM cash flow'!W56,'1 Reclamation and O&amp;M costs'!P$112:$P136)*(1+$S$7)</f>
        <v>0</v>
      </c>
      <c r="Y56" s="106">
        <f>SUMIF('1 Reclamation and O&amp;M costs'!$K$95:$K$112,'3 WM cash flow'!W56,'1 Reclamation and O&amp;M costs'!$T$95:$T$112)*(1+$S$7)</f>
        <v>0</v>
      </c>
      <c r="Z56" s="105">
        <f>SUMIF('1 Reclamation and O&amp;M costs'!$K$95:$K$112,"&gt;="&amp;M56,'1 Reclamation and O&amp;M costs'!$R$95:$R$112)*(1+$S$8)</f>
        <v>0</v>
      </c>
      <c r="AA56" s="106"/>
      <c r="AB56" s="86">
        <f t="shared" si="8"/>
        <v>43</v>
      </c>
      <c r="AC56" s="105">
        <f>SUMIF('1 Reclamation and O&amp;M costs'!$H$122:$H$132,'3 WM cash flow'!AB56,'1 Reclamation and O&amp;M costs'!$Q$122:$Q$132)*(1+$S$7)</f>
        <v>0</v>
      </c>
      <c r="AD56" s="106">
        <f>SUMIF('1 Reclamation and O&amp;M costs'!$H$122:$H$132,"&gt;="&amp;AB56,'1 Reclamation and O&amp;M costs'!$O$122:$O$132)*(1+$S$8)</f>
        <v>0</v>
      </c>
      <c r="AE56" s="108"/>
      <c r="AF56" s="86">
        <f t="shared" si="9"/>
        <v>43</v>
      </c>
      <c r="AG56" s="105">
        <f>(IF(AF56&lt;('1 Reclamation and O&amp;M costs'!$O$23-'1 Reclamation and O&amp;M costs'!$O$22),'2 Sampling Cost'!$O$13,IF(AF56&lt;'1 Reclamation and O&amp;M costs'!$O$24,'2 Sampling Cost'!$O$14,'2 Sampling Cost'!$O$15)))*(1+$S$8)</f>
        <v>3594.3250000000003</v>
      </c>
      <c r="AH56" s="106"/>
      <c r="AI56" s="105">
        <f t="shared" si="10"/>
        <v>3594.3250000000003</v>
      </c>
      <c r="AJ56" s="106"/>
    </row>
    <row r="57" spans="2:36" x14ac:dyDescent="0.25">
      <c r="B57" s="365">
        <f t="shared" si="13"/>
        <v>45</v>
      </c>
      <c r="C57" s="354">
        <f t="shared" si="1"/>
        <v>0</v>
      </c>
      <c r="D57" s="354">
        <f t="shared" si="2"/>
        <v>0</v>
      </c>
      <c r="E57" s="354">
        <f t="shared" si="3"/>
        <v>3594.3250000000003</v>
      </c>
      <c r="F57" s="354">
        <f t="shared" si="4"/>
        <v>3594.3250000000003</v>
      </c>
      <c r="M57" s="86">
        <f t="shared" si="14"/>
        <v>44</v>
      </c>
      <c r="N57" s="105">
        <f>SUMIF('1 Reclamation and O&amp;M costs'!$N$28:$N$37,M57,'1 Reclamation and O&amp;M costs'!$P$28:$P$37)*($S$7+1)</f>
        <v>0</v>
      </c>
      <c r="O57" s="106">
        <f>SUMIF('1 Reclamation and O&amp;M costs'!$M$28:$M$37,"&gt;="&amp;M57,'1 Reclamation and O&amp;M costs'!$R$28:$R$37)*($S$8+1)</f>
        <v>0</v>
      </c>
      <c r="P57" s="86"/>
      <c r="Q57" s="86">
        <f t="shared" si="11"/>
        <v>44</v>
      </c>
      <c r="R57" s="105">
        <f>SUMIF('1 Reclamation and O&amp;M costs'!$J$45:$J$60,'3 WM cash flow'!Q57,'1 Reclamation and O&amp;M costs'!$P$70:$P$85)*(1+$S$8)</f>
        <v>0</v>
      </c>
      <c r="S57" s="106">
        <f>SUMIF('1 Reclamation and O&amp;M costs'!$I$45:$I$60,'3 WM cash flow'!Q57,'1 Reclamation and O&amp;M costs'!$S$70:$S$85)*(1+$S$7)</f>
        <v>0</v>
      </c>
      <c r="T57" s="105">
        <f>(IF('3 WM cash flow'!Q57&lt;=('1 Reclamation and O&amp;M costs'!$O$23-'1 Reclamation and O&amp;M costs'!$O$22),0,SUMIF('1 Reclamation and O&amp;M costs'!$I$45:$I$60,"&gt;="&amp;'3 WM cash flow'!Q57,'1 Reclamation and O&amp;M costs'!$N$70:$N$85))+IF('3 WM cash flow'!Q57&lt;=('1 Reclamation and O&amp;M costs'!$O$23-'1 Reclamation and O&amp;M costs'!$O$22),'1 Reclamation and O&amp;M costs'!$I$89,0))*(1+$S$8)</f>
        <v>0</v>
      </c>
      <c r="U57" s="106">
        <f>SUMIF('1 Reclamation and O&amp;M costs'!$I$45:$I$60,"&gt;="&amp;Q57,'1 Reclamation and O&amp;M costs'!$Q$70:$Q$85)*(1+$S$8)</f>
        <v>0</v>
      </c>
      <c r="V57" s="86"/>
      <c r="W57" s="86">
        <f t="shared" si="12"/>
        <v>44</v>
      </c>
      <c r="X57" s="105">
        <f>SUMIF('1 Reclamation and O&amp;M costs'!$L$95:$L$112,'3 WM cash flow'!W57,'1 Reclamation and O&amp;M costs'!P$112:$P137)*(1+$S$7)</f>
        <v>0</v>
      </c>
      <c r="Y57" s="106">
        <f>SUMIF('1 Reclamation and O&amp;M costs'!$K$95:$K$112,'3 WM cash flow'!W57,'1 Reclamation and O&amp;M costs'!$T$95:$T$112)*(1+$S$7)</f>
        <v>0</v>
      </c>
      <c r="Z57" s="105">
        <f>SUMIF('1 Reclamation and O&amp;M costs'!$K$95:$K$112,"&gt;="&amp;M57,'1 Reclamation and O&amp;M costs'!$R$95:$R$112)*(1+$S$8)</f>
        <v>0</v>
      </c>
      <c r="AA57" s="106"/>
      <c r="AB57" s="86">
        <f t="shared" si="8"/>
        <v>44</v>
      </c>
      <c r="AC57" s="105">
        <f>SUMIF('1 Reclamation and O&amp;M costs'!$H$122:$H$132,'3 WM cash flow'!AB57,'1 Reclamation and O&amp;M costs'!$Q$122:$Q$132)*(1+$S$7)</f>
        <v>0</v>
      </c>
      <c r="AD57" s="106">
        <f>SUMIF('1 Reclamation and O&amp;M costs'!$H$122:$H$132,"&gt;="&amp;AB57,'1 Reclamation and O&amp;M costs'!$O$122:$O$132)*(1+$S$8)</f>
        <v>0</v>
      </c>
      <c r="AE57" s="108"/>
      <c r="AF57" s="86">
        <f t="shared" si="9"/>
        <v>44</v>
      </c>
      <c r="AG57" s="105">
        <f>(IF(AF57&lt;('1 Reclamation and O&amp;M costs'!$O$23-'1 Reclamation and O&amp;M costs'!$O$22),'2 Sampling Cost'!$O$13,IF(AF57&lt;'1 Reclamation and O&amp;M costs'!$O$24,'2 Sampling Cost'!$O$14,'2 Sampling Cost'!$O$15)))*(1+$S$8)</f>
        <v>3594.3250000000003</v>
      </c>
      <c r="AH57" s="106"/>
      <c r="AI57" s="105">
        <f t="shared" si="10"/>
        <v>3594.3250000000003</v>
      </c>
      <c r="AJ57" s="106"/>
    </row>
    <row r="58" spans="2:36" x14ac:dyDescent="0.25">
      <c r="B58" s="365">
        <f t="shared" si="13"/>
        <v>46</v>
      </c>
      <c r="C58" s="354">
        <f t="shared" si="1"/>
        <v>0</v>
      </c>
      <c r="D58" s="354">
        <f t="shared" si="2"/>
        <v>0</v>
      </c>
      <c r="E58" s="354">
        <f t="shared" si="3"/>
        <v>3594.3250000000003</v>
      </c>
      <c r="F58" s="354">
        <f t="shared" si="4"/>
        <v>3594.3250000000003</v>
      </c>
      <c r="M58" s="86">
        <f t="shared" si="14"/>
        <v>45</v>
      </c>
      <c r="N58" s="105">
        <f>SUMIF('1 Reclamation and O&amp;M costs'!$N$28:$N$37,M58,'1 Reclamation and O&amp;M costs'!$P$28:$P$37)*($S$7+1)</f>
        <v>0</v>
      </c>
      <c r="O58" s="106">
        <f>SUMIF('1 Reclamation and O&amp;M costs'!$M$28:$M$37,"&gt;="&amp;M58,'1 Reclamation and O&amp;M costs'!$R$28:$R$37)*($S$8+1)</f>
        <v>0</v>
      </c>
      <c r="P58" s="86"/>
      <c r="Q58" s="86">
        <f t="shared" si="11"/>
        <v>45</v>
      </c>
      <c r="R58" s="105">
        <f>SUMIF('1 Reclamation and O&amp;M costs'!$J$45:$J$60,'3 WM cash flow'!Q58,'1 Reclamation and O&amp;M costs'!$P$70:$P$85)*(1+$S$8)</f>
        <v>0</v>
      </c>
      <c r="S58" s="106">
        <f>SUMIF('1 Reclamation and O&amp;M costs'!$I$45:$I$60,'3 WM cash flow'!Q58,'1 Reclamation and O&amp;M costs'!$S$70:$S$85)*(1+$S$7)</f>
        <v>0</v>
      </c>
      <c r="T58" s="105">
        <f>(IF('3 WM cash flow'!Q58&lt;=('1 Reclamation and O&amp;M costs'!$O$23-'1 Reclamation and O&amp;M costs'!$O$22),0,SUMIF('1 Reclamation and O&amp;M costs'!$I$45:$I$60,"&gt;="&amp;'3 WM cash flow'!Q58,'1 Reclamation and O&amp;M costs'!$N$70:$N$85))+IF('3 WM cash flow'!Q58&lt;=('1 Reclamation and O&amp;M costs'!$O$23-'1 Reclamation and O&amp;M costs'!$O$22),'1 Reclamation and O&amp;M costs'!$I$89,0))*(1+$S$8)</f>
        <v>0</v>
      </c>
      <c r="U58" s="106">
        <f>SUMIF('1 Reclamation and O&amp;M costs'!$I$45:$I$60,"&gt;="&amp;Q58,'1 Reclamation and O&amp;M costs'!$Q$70:$Q$85)*(1+$S$8)</f>
        <v>0</v>
      </c>
      <c r="V58" s="86"/>
      <c r="W58" s="86">
        <f t="shared" si="12"/>
        <v>45</v>
      </c>
      <c r="X58" s="105">
        <f>SUMIF('1 Reclamation and O&amp;M costs'!$L$95:$L$112,'3 WM cash flow'!W58,'1 Reclamation and O&amp;M costs'!P$112:$P138)*(1+$S$7)</f>
        <v>0</v>
      </c>
      <c r="Y58" s="106">
        <f>SUMIF('1 Reclamation and O&amp;M costs'!$K$95:$K$112,'3 WM cash flow'!W58,'1 Reclamation and O&amp;M costs'!$T$95:$T$112)*(1+$S$7)</f>
        <v>0</v>
      </c>
      <c r="Z58" s="105">
        <f>SUMIF('1 Reclamation and O&amp;M costs'!$K$95:$K$112,"&gt;="&amp;M58,'1 Reclamation and O&amp;M costs'!$R$95:$R$112)*(1+$S$8)</f>
        <v>0</v>
      </c>
      <c r="AA58" s="106"/>
      <c r="AB58" s="86">
        <f t="shared" si="8"/>
        <v>45</v>
      </c>
      <c r="AC58" s="105">
        <f>SUMIF('1 Reclamation and O&amp;M costs'!$H$122:$H$132,'3 WM cash flow'!AB58,'1 Reclamation and O&amp;M costs'!$Q$122:$Q$132)*(1+$S$7)</f>
        <v>0</v>
      </c>
      <c r="AD58" s="106">
        <f>SUMIF('1 Reclamation and O&amp;M costs'!$H$122:$H$132,"&gt;="&amp;AB58,'1 Reclamation and O&amp;M costs'!$O$122:$O$132)*(1+$S$8)</f>
        <v>0</v>
      </c>
      <c r="AE58" s="108"/>
      <c r="AF58" s="86">
        <f t="shared" si="9"/>
        <v>45</v>
      </c>
      <c r="AG58" s="105">
        <f>(IF(AF58&lt;('1 Reclamation and O&amp;M costs'!$O$23-'1 Reclamation and O&amp;M costs'!$O$22),'2 Sampling Cost'!$O$13,IF(AF58&lt;'1 Reclamation and O&amp;M costs'!$O$24,'2 Sampling Cost'!$O$14,'2 Sampling Cost'!$O$15)))*(1+$S$8)</f>
        <v>3594.3250000000003</v>
      </c>
      <c r="AH58" s="106"/>
      <c r="AI58" s="105">
        <f t="shared" si="10"/>
        <v>3594.3250000000003</v>
      </c>
      <c r="AJ58" s="106"/>
    </row>
    <row r="59" spans="2:36" x14ac:dyDescent="0.25">
      <c r="B59" s="365">
        <f t="shared" si="13"/>
        <v>47</v>
      </c>
      <c r="C59" s="354">
        <f t="shared" si="1"/>
        <v>0</v>
      </c>
      <c r="D59" s="354">
        <f t="shared" si="2"/>
        <v>0</v>
      </c>
      <c r="E59" s="354">
        <f t="shared" si="3"/>
        <v>3594.3250000000003</v>
      </c>
      <c r="F59" s="354">
        <f t="shared" si="4"/>
        <v>3594.3250000000003</v>
      </c>
      <c r="M59" s="86">
        <f t="shared" si="14"/>
        <v>46</v>
      </c>
      <c r="N59" s="105">
        <f>SUMIF('1 Reclamation and O&amp;M costs'!$N$28:$N$37,M59,'1 Reclamation and O&amp;M costs'!$P$28:$P$37)*($S$7+1)</f>
        <v>0</v>
      </c>
      <c r="O59" s="106">
        <f>SUMIF('1 Reclamation and O&amp;M costs'!$M$28:$M$37,"&gt;="&amp;M59,'1 Reclamation and O&amp;M costs'!$R$28:$R$37)*($S$8+1)</f>
        <v>0</v>
      </c>
      <c r="P59" s="86"/>
      <c r="Q59" s="86">
        <f t="shared" si="11"/>
        <v>46</v>
      </c>
      <c r="R59" s="105">
        <f>SUMIF('1 Reclamation and O&amp;M costs'!$J$45:$J$60,'3 WM cash flow'!Q59,'1 Reclamation and O&amp;M costs'!$P$70:$P$85)*(1+$S$8)</f>
        <v>0</v>
      </c>
      <c r="S59" s="106">
        <f>SUMIF('1 Reclamation and O&amp;M costs'!$I$45:$I$60,'3 WM cash flow'!Q59,'1 Reclamation and O&amp;M costs'!$S$70:$S$85)*(1+$S$7)</f>
        <v>0</v>
      </c>
      <c r="T59" s="105">
        <f>(IF('3 WM cash flow'!Q59&lt;=('1 Reclamation and O&amp;M costs'!$O$23-'1 Reclamation and O&amp;M costs'!$O$22),0,SUMIF('1 Reclamation and O&amp;M costs'!$I$45:$I$60,"&gt;="&amp;'3 WM cash flow'!Q59,'1 Reclamation and O&amp;M costs'!$N$70:$N$85))+IF('3 WM cash flow'!Q59&lt;=('1 Reclamation and O&amp;M costs'!$O$23-'1 Reclamation and O&amp;M costs'!$O$22),'1 Reclamation and O&amp;M costs'!$I$89,0))*(1+$S$8)</f>
        <v>0</v>
      </c>
      <c r="U59" s="106">
        <f>SUMIF('1 Reclamation and O&amp;M costs'!$I$45:$I$60,"&gt;="&amp;Q59,'1 Reclamation and O&amp;M costs'!$Q$70:$Q$85)*(1+$S$8)</f>
        <v>0</v>
      </c>
      <c r="V59" s="86"/>
      <c r="W59" s="86">
        <f t="shared" si="12"/>
        <v>46</v>
      </c>
      <c r="X59" s="105">
        <f>SUMIF('1 Reclamation and O&amp;M costs'!$L$95:$L$112,'3 WM cash flow'!W59,'1 Reclamation and O&amp;M costs'!P$112:$P139)*(1+$S$7)</f>
        <v>0</v>
      </c>
      <c r="Y59" s="106">
        <f>SUMIF('1 Reclamation and O&amp;M costs'!$K$95:$K$112,'3 WM cash flow'!W59,'1 Reclamation and O&amp;M costs'!$T$95:$T$112)*(1+$S$7)</f>
        <v>0</v>
      </c>
      <c r="Z59" s="105">
        <f>SUMIF('1 Reclamation and O&amp;M costs'!$K$95:$K$112,"&gt;="&amp;M59,'1 Reclamation and O&amp;M costs'!$R$95:$R$112)*(1+$S$8)</f>
        <v>0</v>
      </c>
      <c r="AA59" s="106"/>
      <c r="AB59" s="86">
        <f t="shared" si="8"/>
        <v>46</v>
      </c>
      <c r="AC59" s="105">
        <f>SUMIF('1 Reclamation and O&amp;M costs'!$H$122:$H$132,'3 WM cash flow'!AB59,'1 Reclamation and O&amp;M costs'!$Q$122:$Q$132)*(1+$S$7)</f>
        <v>0</v>
      </c>
      <c r="AD59" s="106">
        <f>SUMIF('1 Reclamation and O&amp;M costs'!$H$122:$H$132,"&gt;="&amp;AB59,'1 Reclamation and O&amp;M costs'!$O$122:$O$132)*(1+$S$8)</f>
        <v>0</v>
      </c>
      <c r="AE59" s="108"/>
      <c r="AF59" s="86">
        <f t="shared" si="9"/>
        <v>46</v>
      </c>
      <c r="AG59" s="105">
        <f>(IF(AF59&lt;('1 Reclamation and O&amp;M costs'!$O$23-'1 Reclamation and O&amp;M costs'!$O$22),'2 Sampling Cost'!$O$13,IF(AF59&lt;'1 Reclamation and O&amp;M costs'!$O$24,'2 Sampling Cost'!$O$14,'2 Sampling Cost'!$O$15)))*(1+$S$8)</f>
        <v>3594.3250000000003</v>
      </c>
      <c r="AH59" s="106"/>
      <c r="AI59" s="105">
        <f t="shared" si="10"/>
        <v>3594.3250000000003</v>
      </c>
      <c r="AJ59" s="106"/>
    </row>
    <row r="60" spans="2:36" x14ac:dyDescent="0.25">
      <c r="B60" s="365">
        <f t="shared" si="13"/>
        <v>48</v>
      </c>
      <c r="C60" s="354">
        <f t="shared" si="1"/>
        <v>0</v>
      </c>
      <c r="D60" s="354">
        <f t="shared" si="2"/>
        <v>0</v>
      </c>
      <c r="E60" s="354">
        <f t="shared" si="3"/>
        <v>3594.3250000000003</v>
      </c>
      <c r="F60" s="354">
        <f t="shared" si="4"/>
        <v>3594.3250000000003</v>
      </c>
      <c r="M60" s="86">
        <f t="shared" si="14"/>
        <v>47</v>
      </c>
      <c r="N60" s="105">
        <f>SUMIF('1 Reclamation and O&amp;M costs'!$N$28:$N$37,M60,'1 Reclamation and O&amp;M costs'!$P$28:$P$37)*($S$7+1)</f>
        <v>0</v>
      </c>
      <c r="O60" s="106">
        <f>SUMIF('1 Reclamation and O&amp;M costs'!$M$28:$M$37,"&gt;="&amp;M60,'1 Reclamation and O&amp;M costs'!$R$28:$R$37)*($S$8+1)</f>
        <v>0</v>
      </c>
      <c r="P60" s="86"/>
      <c r="Q60" s="86">
        <f t="shared" si="11"/>
        <v>47</v>
      </c>
      <c r="R60" s="105">
        <f>SUMIF('1 Reclamation and O&amp;M costs'!$J$45:$J$60,'3 WM cash flow'!Q60,'1 Reclamation and O&amp;M costs'!$P$70:$P$85)*(1+$S$8)</f>
        <v>0</v>
      </c>
      <c r="S60" s="106">
        <f>SUMIF('1 Reclamation and O&amp;M costs'!$I$45:$I$60,'3 WM cash flow'!Q60,'1 Reclamation and O&amp;M costs'!$S$70:$S$85)*(1+$S$7)</f>
        <v>0</v>
      </c>
      <c r="T60" s="105">
        <f>(IF('3 WM cash flow'!Q60&lt;=('1 Reclamation and O&amp;M costs'!$O$23-'1 Reclamation and O&amp;M costs'!$O$22),0,SUMIF('1 Reclamation and O&amp;M costs'!$I$45:$I$60,"&gt;="&amp;'3 WM cash flow'!Q60,'1 Reclamation and O&amp;M costs'!$N$70:$N$85))+IF('3 WM cash flow'!Q60&lt;=('1 Reclamation and O&amp;M costs'!$O$23-'1 Reclamation and O&amp;M costs'!$O$22),'1 Reclamation and O&amp;M costs'!$I$89,0))*(1+$S$8)</f>
        <v>0</v>
      </c>
      <c r="U60" s="106">
        <f>SUMIF('1 Reclamation and O&amp;M costs'!$I$45:$I$60,"&gt;="&amp;Q60,'1 Reclamation and O&amp;M costs'!$Q$70:$Q$85)*(1+$S$8)</f>
        <v>0</v>
      </c>
      <c r="V60" s="86"/>
      <c r="W60" s="86">
        <f t="shared" si="12"/>
        <v>47</v>
      </c>
      <c r="X60" s="105">
        <f>SUMIF('1 Reclamation and O&amp;M costs'!$L$95:$L$112,'3 WM cash flow'!W60,'1 Reclamation and O&amp;M costs'!P$112:$P140)*(1+$S$7)</f>
        <v>0</v>
      </c>
      <c r="Y60" s="106">
        <f>SUMIF('1 Reclamation and O&amp;M costs'!$K$95:$K$112,'3 WM cash flow'!W60,'1 Reclamation and O&amp;M costs'!$T$95:$T$112)*(1+$S$7)</f>
        <v>0</v>
      </c>
      <c r="Z60" s="105">
        <f>SUMIF('1 Reclamation and O&amp;M costs'!$K$95:$K$112,"&gt;="&amp;M60,'1 Reclamation and O&amp;M costs'!$R$95:$R$112)*(1+$S$8)</f>
        <v>0</v>
      </c>
      <c r="AA60" s="106"/>
      <c r="AB60" s="86">
        <f t="shared" si="8"/>
        <v>47</v>
      </c>
      <c r="AC60" s="105">
        <f>SUMIF('1 Reclamation and O&amp;M costs'!$H$122:$H$132,'3 WM cash flow'!AB60,'1 Reclamation and O&amp;M costs'!$Q$122:$Q$132)*(1+$S$7)</f>
        <v>0</v>
      </c>
      <c r="AD60" s="106">
        <f>SUMIF('1 Reclamation and O&amp;M costs'!$H$122:$H$132,"&gt;="&amp;AB60,'1 Reclamation and O&amp;M costs'!$O$122:$O$132)*(1+$S$8)</f>
        <v>0</v>
      </c>
      <c r="AE60" s="108"/>
      <c r="AF60" s="86">
        <f t="shared" si="9"/>
        <v>47</v>
      </c>
      <c r="AG60" s="105">
        <f>(IF(AF60&lt;('1 Reclamation and O&amp;M costs'!$O$23-'1 Reclamation and O&amp;M costs'!$O$22),'2 Sampling Cost'!$O$13,IF(AF60&lt;'1 Reclamation and O&amp;M costs'!$O$24,'2 Sampling Cost'!$O$14,'2 Sampling Cost'!$O$15)))*(1+$S$8)</f>
        <v>3594.3250000000003</v>
      </c>
      <c r="AH60" s="106"/>
      <c r="AI60" s="105">
        <f t="shared" si="10"/>
        <v>3594.3250000000003</v>
      </c>
      <c r="AJ60" s="106"/>
    </row>
    <row r="61" spans="2:36" x14ac:dyDescent="0.25">
      <c r="B61" s="365">
        <f t="shared" si="13"/>
        <v>49</v>
      </c>
      <c r="C61" s="354">
        <f t="shared" si="1"/>
        <v>0</v>
      </c>
      <c r="D61" s="354">
        <f t="shared" si="2"/>
        <v>0</v>
      </c>
      <c r="E61" s="354">
        <f t="shared" si="3"/>
        <v>3594.3250000000003</v>
      </c>
      <c r="F61" s="354">
        <f t="shared" si="4"/>
        <v>3594.3250000000003</v>
      </c>
      <c r="M61" s="86">
        <f t="shared" si="14"/>
        <v>48</v>
      </c>
      <c r="N61" s="105">
        <f>SUMIF('1 Reclamation and O&amp;M costs'!$N$28:$N$37,M61,'1 Reclamation and O&amp;M costs'!$P$28:$P$37)*($S$7+1)</f>
        <v>0</v>
      </c>
      <c r="O61" s="106">
        <f>SUMIF('1 Reclamation and O&amp;M costs'!$M$28:$M$37,"&gt;="&amp;M61,'1 Reclamation and O&amp;M costs'!$R$28:$R$37)*($S$8+1)</f>
        <v>0</v>
      </c>
      <c r="P61" s="86"/>
      <c r="Q61" s="86">
        <f t="shared" si="11"/>
        <v>48</v>
      </c>
      <c r="R61" s="105">
        <f>SUMIF('1 Reclamation and O&amp;M costs'!$J$45:$J$60,'3 WM cash flow'!Q61,'1 Reclamation and O&amp;M costs'!$P$70:$P$85)*(1+$S$8)</f>
        <v>0</v>
      </c>
      <c r="S61" s="106">
        <f>SUMIF('1 Reclamation and O&amp;M costs'!$I$45:$I$60,'3 WM cash flow'!Q61,'1 Reclamation and O&amp;M costs'!$S$70:$S$85)*(1+$S$7)</f>
        <v>0</v>
      </c>
      <c r="T61" s="105">
        <f>(IF('3 WM cash flow'!Q61&lt;=('1 Reclamation and O&amp;M costs'!$O$23-'1 Reclamation and O&amp;M costs'!$O$22),0,SUMIF('1 Reclamation and O&amp;M costs'!$I$45:$I$60,"&gt;="&amp;'3 WM cash flow'!Q61,'1 Reclamation and O&amp;M costs'!$N$70:$N$85))+IF('3 WM cash flow'!Q61&lt;=('1 Reclamation and O&amp;M costs'!$O$23-'1 Reclamation and O&amp;M costs'!$O$22),'1 Reclamation and O&amp;M costs'!$I$89,0))*(1+$S$8)</f>
        <v>0</v>
      </c>
      <c r="U61" s="106">
        <f>SUMIF('1 Reclamation and O&amp;M costs'!$I$45:$I$60,"&gt;="&amp;Q61,'1 Reclamation and O&amp;M costs'!$Q$70:$Q$85)*(1+$S$8)</f>
        <v>0</v>
      </c>
      <c r="V61" s="86"/>
      <c r="W61" s="86">
        <f t="shared" si="12"/>
        <v>48</v>
      </c>
      <c r="X61" s="105">
        <f>SUMIF('1 Reclamation and O&amp;M costs'!$L$95:$L$112,'3 WM cash flow'!W61,'1 Reclamation and O&amp;M costs'!P$112:$P141)*(1+$S$7)</f>
        <v>0</v>
      </c>
      <c r="Y61" s="106">
        <f>SUMIF('1 Reclamation and O&amp;M costs'!$K$95:$K$112,'3 WM cash flow'!W61,'1 Reclamation and O&amp;M costs'!$T$95:$T$112)*(1+$S$7)</f>
        <v>0</v>
      </c>
      <c r="Z61" s="105">
        <f>SUMIF('1 Reclamation and O&amp;M costs'!$K$95:$K$112,"&gt;="&amp;M61,'1 Reclamation and O&amp;M costs'!$R$95:$R$112)*(1+$S$8)</f>
        <v>0</v>
      </c>
      <c r="AA61" s="106"/>
      <c r="AB61" s="86">
        <f t="shared" si="8"/>
        <v>48</v>
      </c>
      <c r="AC61" s="105">
        <f>SUMIF('1 Reclamation and O&amp;M costs'!$H$122:$H$132,'3 WM cash flow'!AB61,'1 Reclamation and O&amp;M costs'!$Q$122:$Q$132)*(1+$S$7)</f>
        <v>0</v>
      </c>
      <c r="AD61" s="106">
        <f>SUMIF('1 Reclamation and O&amp;M costs'!$H$122:$H$132,"&gt;="&amp;AB61,'1 Reclamation and O&amp;M costs'!$O$122:$O$132)*(1+$S$8)</f>
        <v>0</v>
      </c>
      <c r="AE61" s="108"/>
      <c r="AF61" s="86">
        <f t="shared" si="9"/>
        <v>48</v>
      </c>
      <c r="AG61" s="105">
        <f>(IF(AF61&lt;('1 Reclamation and O&amp;M costs'!$O$23-'1 Reclamation and O&amp;M costs'!$O$22),'2 Sampling Cost'!$O$13,IF(AF61&lt;'1 Reclamation and O&amp;M costs'!$O$24,'2 Sampling Cost'!$O$14,'2 Sampling Cost'!$O$15)))*(1+$S$8)</f>
        <v>3594.3250000000003</v>
      </c>
      <c r="AH61" s="106"/>
      <c r="AI61" s="105">
        <f t="shared" si="10"/>
        <v>3594.3250000000003</v>
      </c>
      <c r="AJ61" s="106"/>
    </row>
    <row r="62" spans="2:36" x14ac:dyDescent="0.25">
      <c r="B62" s="365">
        <f t="shared" si="13"/>
        <v>50</v>
      </c>
      <c r="C62" s="354">
        <f t="shared" si="1"/>
        <v>0</v>
      </c>
      <c r="D62" s="354">
        <f t="shared" si="2"/>
        <v>0</v>
      </c>
      <c r="E62" s="354">
        <f t="shared" si="3"/>
        <v>3594.3250000000003</v>
      </c>
      <c r="F62" s="354">
        <f t="shared" si="4"/>
        <v>3594.3250000000003</v>
      </c>
      <c r="M62" s="86">
        <f t="shared" si="14"/>
        <v>49</v>
      </c>
      <c r="N62" s="105">
        <f>SUMIF('1 Reclamation and O&amp;M costs'!$N$28:$N$37,M62,'1 Reclamation and O&amp;M costs'!$P$28:$P$37)*($S$7+1)</f>
        <v>0</v>
      </c>
      <c r="O62" s="106">
        <f>SUMIF('1 Reclamation and O&amp;M costs'!$M$28:$M$37,"&gt;="&amp;M62,'1 Reclamation and O&amp;M costs'!$R$28:$R$37)*($S$8+1)</f>
        <v>0</v>
      </c>
      <c r="P62" s="86"/>
      <c r="Q62" s="86">
        <f t="shared" si="11"/>
        <v>49</v>
      </c>
      <c r="R62" s="105">
        <f>SUMIF('1 Reclamation and O&amp;M costs'!$J$45:$J$60,'3 WM cash flow'!Q62,'1 Reclamation and O&amp;M costs'!$P$70:$P$85)*(1+$S$8)</f>
        <v>0</v>
      </c>
      <c r="S62" s="106">
        <f>SUMIF('1 Reclamation and O&amp;M costs'!$I$45:$I$60,'3 WM cash flow'!Q62,'1 Reclamation and O&amp;M costs'!$S$70:$S$85)*(1+$S$7)</f>
        <v>0</v>
      </c>
      <c r="T62" s="105">
        <f>(IF('3 WM cash flow'!Q62&lt;=('1 Reclamation and O&amp;M costs'!$O$23-'1 Reclamation and O&amp;M costs'!$O$22),0,SUMIF('1 Reclamation and O&amp;M costs'!$I$45:$I$60,"&gt;="&amp;'3 WM cash flow'!Q62,'1 Reclamation and O&amp;M costs'!$N$70:$N$85))+IF('3 WM cash flow'!Q62&lt;=('1 Reclamation and O&amp;M costs'!$O$23-'1 Reclamation and O&amp;M costs'!$O$22),'1 Reclamation and O&amp;M costs'!$I$89,0))*(1+$S$8)</f>
        <v>0</v>
      </c>
      <c r="U62" s="106">
        <f>SUMIF('1 Reclamation and O&amp;M costs'!$I$45:$I$60,"&gt;="&amp;Q62,'1 Reclamation and O&amp;M costs'!$Q$70:$Q$85)*(1+$S$8)</f>
        <v>0</v>
      </c>
      <c r="V62" s="86"/>
      <c r="W62" s="86">
        <f t="shared" si="12"/>
        <v>49</v>
      </c>
      <c r="X62" s="105">
        <f>SUMIF('1 Reclamation and O&amp;M costs'!$L$95:$L$112,'3 WM cash flow'!W62,'1 Reclamation and O&amp;M costs'!P$112:$P142)*(1+$S$7)</f>
        <v>0</v>
      </c>
      <c r="Y62" s="106">
        <f>SUMIF('1 Reclamation and O&amp;M costs'!$K$95:$K$112,'3 WM cash flow'!W62,'1 Reclamation and O&amp;M costs'!$T$95:$T$112)*(1+$S$7)</f>
        <v>0</v>
      </c>
      <c r="Z62" s="105">
        <f>SUMIF('1 Reclamation and O&amp;M costs'!$K$95:$K$112,"&gt;="&amp;M62,'1 Reclamation and O&amp;M costs'!$R$95:$R$112)*(1+$S$8)</f>
        <v>0</v>
      </c>
      <c r="AA62" s="106"/>
      <c r="AB62" s="86">
        <f t="shared" si="8"/>
        <v>49</v>
      </c>
      <c r="AC62" s="105">
        <f>SUMIF('1 Reclamation and O&amp;M costs'!$H$122:$H$132,'3 WM cash flow'!AB62,'1 Reclamation and O&amp;M costs'!$Q$122:$Q$132)*(1+$S$7)</f>
        <v>0</v>
      </c>
      <c r="AD62" s="106">
        <f>SUMIF('1 Reclamation and O&amp;M costs'!$H$122:$H$132,"&gt;="&amp;AB62,'1 Reclamation and O&amp;M costs'!$O$122:$O$132)*(1+$S$8)</f>
        <v>0</v>
      </c>
      <c r="AE62" s="108"/>
      <c r="AF62" s="86">
        <f t="shared" si="9"/>
        <v>49</v>
      </c>
      <c r="AG62" s="105">
        <f>(IF(AF62&lt;('1 Reclamation and O&amp;M costs'!$O$23-'1 Reclamation and O&amp;M costs'!$O$22),'2 Sampling Cost'!$O$13,IF(AF62&lt;'1 Reclamation and O&amp;M costs'!$O$24,'2 Sampling Cost'!$O$14,'2 Sampling Cost'!$O$15)))*(1+$S$8)</f>
        <v>3594.3250000000003</v>
      </c>
      <c r="AH62" s="106"/>
      <c r="AI62" s="105">
        <f t="shared" si="10"/>
        <v>3594.3250000000003</v>
      </c>
      <c r="AJ62" s="106"/>
    </row>
    <row r="63" spans="2:36" x14ac:dyDescent="0.25">
      <c r="B63" s="365">
        <f t="shared" si="13"/>
        <v>51</v>
      </c>
      <c r="C63" s="354">
        <f t="shared" si="1"/>
        <v>0</v>
      </c>
      <c r="D63" s="354">
        <f t="shared" si="2"/>
        <v>0</v>
      </c>
      <c r="E63" s="354">
        <f t="shared" si="3"/>
        <v>3594.3250000000003</v>
      </c>
      <c r="F63" s="354">
        <f t="shared" si="4"/>
        <v>3594.3250000000003</v>
      </c>
      <c r="M63" s="86">
        <f t="shared" si="14"/>
        <v>50</v>
      </c>
      <c r="N63" s="105">
        <f>SUMIF('1 Reclamation and O&amp;M costs'!$N$28:$N$37,M63,'1 Reclamation and O&amp;M costs'!$P$28:$P$37)*($S$7+1)</f>
        <v>0</v>
      </c>
      <c r="O63" s="106">
        <f>SUMIF('1 Reclamation and O&amp;M costs'!$M$28:$M$37,"&gt;="&amp;M63,'1 Reclamation and O&amp;M costs'!$R$28:$R$37)*($S$8+1)</f>
        <v>0</v>
      </c>
      <c r="P63" s="86"/>
      <c r="Q63" s="86">
        <f t="shared" si="11"/>
        <v>50</v>
      </c>
      <c r="R63" s="105">
        <f>SUMIF('1 Reclamation and O&amp;M costs'!$J$45:$J$60,'3 WM cash flow'!Q63,'1 Reclamation and O&amp;M costs'!$P$70:$P$85)*(1+$S$8)</f>
        <v>0</v>
      </c>
      <c r="S63" s="106">
        <f>SUMIF('1 Reclamation and O&amp;M costs'!$I$45:$I$60,'3 WM cash flow'!Q63,'1 Reclamation and O&amp;M costs'!$S$70:$S$85)*(1+$S$7)</f>
        <v>0</v>
      </c>
      <c r="T63" s="105">
        <f>(IF('3 WM cash flow'!Q63&lt;=('1 Reclamation and O&amp;M costs'!$O$23-'1 Reclamation and O&amp;M costs'!$O$22),0,SUMIF('1 Reclamation and O&amp;M costs'!$I$45:$I$60,"&gt;="&amp;'3 WM cash flow'!Q63,'1 Reclamation and O&amp;M costs'!$N$70:$N$85))+IF('3 WM cash flow'!Q63&lt;=('1 Reclamation and O&amp;M costs'!$O$23-'1 Reclamation and O&amp;M costs'!$O$22),'1 Reclamation and O&amp;M costs'!$I$89,0))*(1+$S$8)</f>
        <v>0</v>
      </c>
      <c r="U63" s="106">
        <f>SUMIF('1 Reclamation and O&amp;M costs'!$I$45:$I$60,"&gt;="&amp;Q63,'1 Reclamation and O&amp;M costs'!$Q$70:$Q$85)*(1+$S$8)</f>
        <v>0</v>
      </c>
      <c r="V63" s="86"/>
      <c r="W63" s="86">
        <f t="shared" si="12"/>
        <v>50</v>
      </c>
      <c r="X63" s="105">
        <f>SUMIF('1 Reclamation and O&amp;M costs'!$L$95:$L$112,'3 WM cash flow'!W63,'1 Reclamation and O&amp;M costs'!P$112:$P143)*(1+$S$7)</f>
        <v>0</v>
      </c>
      <c r="Y63" s="106">
        <f>SUMIF('1 Reclamation and O&amp;M costs'!$K$95:$K$112,'3 WM cash flow'!W63,'1 Reclamation and O&amp;M costs'!$T$95:$T$112)*(1+$S$7)</f>
        <v>0</v>
      </c>
      <c r="Z63" s="105">
        <f>SUMIF('1 Reclamation and O&amp;M costs'!$K$95:$K$112,"&gt;="&amp;M63,'1 Reclamation and O&amp;M costs'!$R$95:$R$112)*(1+$S$8)</f>
        <v>0</v>
      </c>
      <c r="AA63" s="106"/>
      <c r="AB63" s="86">
        <f t="shared" si="8"/>
        <v>50</v>
      </c>
      <c r="AC63" s="105">
        <f>SUMIF('1 Reclamation and O&amp;M costs'!$H$122:$H$132,'3 WM cash flow'!AB63,'1 Reclamation and O&amp;M costs'!$Q$122:$Q$132)*(1+$S$7)</f>
        <v>0</v>
      </c>
      <c r="AD63" s="106">
        <f>SUMIF('1 Reclamation and O&amp;M costs'!$H$122:$H$132,"&gt;="&amp;AB63,'1 Reclamation and O&amp;M costs'!$O$122:$O$132)*(1+$S$8)</f>
        <v>0</v>
      </c>
      <c r="AE63" s="108"/>
      <c r="AF63" s="86">
        <f t="shared" si="9"/>
        <v>50</v>
      </c>
      <c r="AG63" s="105">
        <f>(IF(AF63&lt;('1 Reclamation and O&amp;M costs'!$O$23-'1 Reclamation and O&amp;M costs'!$O$22),'2 Sampling Cost'!$O$13,IF(AF63&lt;'1 Reclamation and O&amp;M costs'!$O$24,'2 Sampling Cost'!$O$14,'2 Sampling Cost'!$O$15)))*(1+$S$8)</f>
        <v>3594.3250000000003</v>
      </c>
      <c r="AH63" s="106"/>
      <c r="AI63" s="105">
        <f t="shared" si="10"/>
        <v>3594.3250000000003</v>
      </c>
      <c r="AJ63" s="106"/>
    </row>
    <row r="64" spans="2:36" x14ac:dyDescent="0.25">
      <c r="B64" s="365">
        <f t="shared" si="13"/>
        <v>52</v>
      </c>
      <c r="C64" s="354">
        <f t="shared" si="1"/>
        <v>0</v>
      </c>
      <c r="D64" s="354">
        <f t="shared" si="2"/>
        <v>0</v>
      </c>
      <c r="E64" s="354">
        <f t="shared" si="3"/>
        <v>3594.3250000000003</v>
      </c>
      <c r="F64" s="354">
        <f t="shared" si="4"/>
        <v>3594.3250000000003</v>
      </c>
      <c r="M64" s="86">
        <f t="shared" si="14"/>
        <v>51</v>
      </c>
      <c r="N64" s="105">
        <f>SUMIF('1 Reclamation and O&amp;M costs'!$N$28:$N$37,M64,'1 Reclamation and O&amp;M costs'!$P$28:$P$37)*($S$7+1)</f>
        <v>0</v>
      </c>
      <c r="O64" s="106">
        <f>SUMIF('1 Reclamation and O&amp;M costs'!$M$28:$M$37,"&gt;="&amp;M64,'1 Reclamation and O&amp;M costs'!$R$28:$R$37)*($S$8+1)</f>
        <v>0</v>
      </c>
      <c r="P64" s="86"/>
      <c r="Q64" s="86">
        <f t="shared" si="11"/>
        <v>51</v>
      </c>
      <c r="R64" s="105">
        <f>SUMIF('1 Reclamation and O&amp;M costs'!$J$45:$J$60,'3 WM cash flow'!Q64,'1 Reclamation and O&amp;M costs'!$P$70:$P$85)*(1+$S$8)</f>
        <v>0</v>
      </c>
      <c r="S64" s="106">
        <f>SUMIF('1 Reclamation and O&amp;M costs'!$I$45:$I$60,'3 WM cash flow'!Q64,'1 Reclamation and O&amp;M costs'!$S$70:$S$85)*(1+$S$7)</f>
        <v>0</v>
      </c>
      <c r="T64" s="105">
        <f>(IF('3 WM cash flow'!Q64&lt;=('1 Reclamation and O&amp;M costs'!$O$23-'1 Reclamation and O&amp;M costs'!$O$22),0,SUMIF('1 Reclamation and O&amp;M costs'!$I$45:$I$60,"&gt;="&amp;'3 WM cash flow'!Q64,'1 Reclamation and O&amp;M costs'!$N$70:$N$85))+IF('3 WM cash flow'!Q64&lt;=('1 Reclamation and O&amp;M costs'!$O$23-'1 Reclamation and O&amp;M costs'!$O$22),'1 Reclamation and O&amp;M costs'!$I$89,0))*(1+$S$8)</f>
        <v>0</v>
      </c>
      <c r="U64" s="106">
        <f>SUMIF('1 Reclamation and O&amp;M costs'!$I$45:$I$60,"&gt;="&amp;Q64,'1 Reclamation and O&amp;M costs'!$Q$70:$Q$85)*(1+$S$8)</f>
        <v>0</v>
      </c>
      <c r="V64" s="86"/>
      <c r="W64" s="86">
        <f t="shared" si="12"/>
        <v>51</v>
      </c>
      <c r="X64" s="105">
        <f>SUMIF('1 Reclamation and O&amp;M costs'!$L$95:$L$112,'3 WM cash flow'!W64,'1 Reclamation and O&amp;M costs'!P$112:$P144)*(1+$S$7)</f>
        <v>0</v>
      </c>
      <c r="Y64" s="106">
        <f>SUMIF('1 Reclamation and O&amp;M costs'!$K$95:$K$112,'3 WM cash flow'!W64,'1 Reclamation and O&amp;M costs'!$T$95:$T$112)*(1+$S$7)</f>
        <v>0</v>
      </c>
      <c r="Z64" s="105">
        <f>SUMIF('1 Reclamation and O&amp;M costs'!$K$95:$K$112,"&gt;="&amp;M64,'1 Reclamation and O&amp;M costs'!$R$95:$R$112)*(1+$S$8)</f>
        <v>0</v>
      </c>
      <c r="AA64" s="106"/>
      <c r="AB64" s="86">
        <f t="shared" si="8"/>
        <v>51</v>
      </c>
      <c r="AC64" s="105">
        <f>SUMIF('1 Reclamation and O&amp;M costs'!$H$122:$H$132,'3 WM cash flow'!AB64,'1 Reclamation and O&amp;M costs'!$Q$122:$Q$132)*(1+$S$7)</f>
        <v>0</v>
      </c>
      <c r="AD64" s="106">
        <f>SUMIF('1 Reclamation and O&amp;M costs'!$H$122:$H$132,"&gt;="&amp;AB64,'1 Reclamation and O&amp;M costs'!$O$122:$O$132)*(1+$S$8)</f>
        <v>0</v>
      </c>
      <c r="AE64" s="108"/>
      <c r="AF64" s="86">
        <f t="shared" si="9"/>
        <v>51</v>
      </c>
      <c r="AG64" s="105">
        <f>(IF(AF64&lt;('1 Reclamation and O&amp;M costs'!$O$23-'1 Reclamation and O&amp;M costs'!$O$22),'2 Sampling Cost'!$O$13,IF(AF64&lt;'1 Reclamation and O&amp;M costs'!$O$24,'2 Sampling Cost'!$O$14,'2 Sampling Cost'!$O$15)))*(1+$S$8)</f>
        <v>3594.3250000000003</v>
      </c>
      <c r="AH64" s="106"/>
      <c r="AI64" s="105">
        <f t="shared" si="10"/>
        <v>3594.3250000000003</v>
      </c>
      <c r="AJ64" s="106"/>
    </row>
    <row r="65" spans="2:36" x14ac:dyDescent="0.25">
      <c r="B65" s="365">
        <f t="shared" si="13"/>
        <v>53</v>
      </c>
      <c r="C65" s="354">
        <f t="shared" si="1"/>
        <v>0</v>
      </c>
      <c r="D65" s="354">
        <f t="shared" si="2"/>
        <v>0</v>
      </c>
      <c r="E65" s="354">
        <f t="shared" si="3"/>
        <v>3594.3250000000003</v>
      </c>
      <c r="F65" s="354">
        <f t="shared" si="4"/>
        <v>3594.3250000000003</v>
      </c>
      <c r="M65" s="86">
        <f t="shared" si="14"/>
        <v>52</v>
      </c>
      <c r="N65" s="105">
        <f>SUMIF('1 Reclamation and O&amp;M costs'!$N$28:$N$37,M65,'1 Reclamation and O&amp;M costs'!$P$28:$P$37)*($S$7+1)</f>
        <v>0</v>
      </c>
      <c r="O65" s="106">
        <f>SUMIF('1 Reclamation and O&amp;M costs'!$M$28:$M$37,"&gt;="&amp;M65,'1 Reclamation and O&amp;M costs'!$R$28:$R$37)*($S$8+1)</f>
        <v>0</v>
      </c>
      <c r="P65" s="86"/>
      <c r="Q65" s="86">
        <f t="shared" si="11"/>
        <v>52</v>
      </c>
      <c r="R65" s="105">
        <f>SUMIF('1 Reclamation and O&amp;M costs'!$J$45:$J$60,'3 WM cash flow'!Q65,'1 Reclamation and O&amp;M costs'!$P$70:$P$85)*(1+$S$8)</f>
        <v>0</v>
      </c>
      <c r="S65" s="106">
        <f>SUMIF('1 Reclamation and O&amp;M costs'!$I$45:$I$60,'3 WM cash flow'!Q65,'1 Reclamation and O&amp;M costs'!$S$70:$S$85)*(1+$S$7)</f>
        <v>0</v>
      </c>
      <c r="T65" s="105">
        <f>(IF('3 WM cash flow'!Q65&lt;=('1 Reclamation and O&amp;M costs'!$O$23-'1 Reclamation and O&amp;M costs'!$O$22),0,SUMIF('1 Reclamation and O&amp;M costs'!$I$45:$I$60,"&gt;="&amp;'3 WM cash flow'!Q65,'1 Reclamation and O&amp;M costs'!$N$70:$N$85))+IF('3 WM cash flow'!Q65&lt;=('1 Reclamation and O&amp;M costs'!$O$23-'1 Reclamation and O&amp;M costs'!$O$22),'1 Reclamation and O&amp;M costs'!$I$89,0))*(1+$S$8)</f>
        <v>0</v>
      </c>
      <c r="U65" s="106">
        <f>SUMIF('1 Reclamation and O&amp;M costs'!$I$45:$I$60,"&gt;="&amp;Q65,'1 Reclamation and O&amp;M costs'!$Q$70:$Q$85)*(1+$S$8)</f>
        <v>0</v>
      </c>
      <c r="V65" s="86"/>
      <c r="W65" s="86">
        <f t="shared" si="12"/>
        <v>52</v>
      </c>
      <c r="X65" s="105">
        <f>SUMIF('1 Reclamation and O&amp;M costs'!$L$95:$L$112,'3 WM cash flow'!W65,'1 Reclamation and O&amp;M costs'!P$112:$P145)*(1+$S$7)</f>
        <v>0</v>
      </c>
      <c r="Y65" s="106">
        <f>SUMIF('1 Reclamation and O&amp;M costs'!$K$95:$K$112,'3 WM cash flow'!W65,'1 Reclamation and O&amp;M costs'!$T$95:$T$112)*(1+$S$7)</f>
        <v>0</v>
      </c>
      <c r="Z65" s="105">
        <f>SUMIF('1 Reclamation and O&amp;M costs'!$K$95:$K$112,"&gt;="&amp;M65,'1 Reclamation and O&amp;M costs'!$R$95:$R$112)*(1+$S$8)</f>
        <v>0</v>
      </c>
      <c r="AA65" s="106"/>
      <c r="AB65" s="86">
        <f t="shared" si="8"/>
        <v>52</v>
      </c>
      <c r="AC65" s="105">
        <f>SUMIF('1 Reclamation and O&amp;M costs'!$H$122:$H$132,'3 WM cash flow'!AB65,'1 Reclamation and O&amp;M costs'!$Q$122:$Q$132)*(1+$S$7)</f>
        <v>0</v>
      </c>
      <c r="AD65" s="106">
        <f>SUMIF('1 Reclamation and O&amp;M costs'!$H$122:$H$132,"&gt;="&amp;AB65,'1 Reclamation and O&amp;M costs'!$O$122:$O$132)*(1+$S$8)</f>
        <v>0</v>
      </c>
      <c r="AE65" s="108"/>
      <c r="AF65" s="86">
        <f t="shared" si="9"/>
        <v>52</v>
      </c>
      <c r="AG65" s="105">
        <f>(IF(AF65&lt;('1 Reclamation and O&amp;M costs'!$O$23-'1 Reclamation and O&amp;M costs'!$O$22),'2 Sampling Cost'!$O$13,IF(AF65&lt;'1 Reclamation and O&amp;M costs'!$O$24,'2 Sampling Cost'!$O$14,'2 Sampling Cost'!$O$15)))*(1+$S$8)</f>
        <v>3594.3250000000003</v>
      </c>
      <c r="AH65" s="106"/>
      <c r="AI65" s="105">
        <f t="shared" si="10"/>
        <v>3594.3250000000003</v>
      </c>
      <c r="AJ65" s="106"/>
    </row>
    <row r="66" spans="2:36" x14ac:dyDescent="0.25">
      <c r="B66" s="365">
        <f t="shared" si="13"/>
        <v>54</v>
      </c>
      <c r="C66" s="354">
        <f t="shared" si="1"/>
        <v>0</v>
      </c>
      <c r="D66" s="354">
        <f t="shared" si="2"/>
        <v>0</v>
      </c>
      <c r="E66" s="354">
        <f t="shared" si="3"/>
        <v>3594.3250000000003</v>
      </c>
      <c r="F66" s="354">
        <f t="shared" si="4"/>
        <v>3594.3250000000003</v>
      </c>
      <c r="M66" s="86">
        <f t="shared" si="14"/>
        <v>53</v>
      </c>
      <c r="N66" s="105">
        <f>SUMIF('1 Reclamation and O&amp;M costs'!$N$28:$N$37,M66,'1 Reclamation and O&amp;M costs'!$P$28:$P$37)*($S$7+1)</f>
        <v>0</v>
      </c>
      <c r="O66" s="106">
        <f>SUMIF('1 Reclamation and O&amp;M costs'!$M$28:$M$37,"&gt;="&amp;M66,'1 Reclamation and O&amp;M costs'!$R$28:$R$37)*($S$8+1)</f>
        <v>0</v>
      </c>
      <c r="P66" s="86"/>
      <c r="Q66" s="86">
        <f t="shared" si="11"/>
        <v>53</v>
      </c>
      <c r="R66" s="105">
        <f>SUMIF('1 Reclamation and O&amp;M costs'!$J$45:$J$60,'3 WM cash flow'!Q66,'1 Reclamation and O&amp;M costs'!$P$70:$P$85)*(1+$S$8)</f>
        <v>0</v>
      </c>
      <c r="S66" s="106">
        <f>SUMIF('1 Reclamation and O&amp;M costs'!$I$45:$I$60,'3 WM cash flow'!Q66,'1 Reclamation and O&amp;M costs'!$S$70:$S$85)*(1+$S$7)</f>
        <v>0</v>
      </c>
      <c r="T66" s="105">
        <f>(IF('3 WM cash flow'!Q66&lt;=('1 Reclamation and O&amp;M costs'!$O$23-'1 Reclamation and O&amp;M costs'!$O$22),0,SUMIF('1 Reclamation and O&amp;M costs'!$I$45:$I$60,"&gt;="&amp;'3 WM cash flow'!Q66,'1 Reclamation and O&amp;M costs'!$N$70:$N$85))+IF('3 WM cash flow'!Q66&lt;=('1 Reclamation and O&amp;M costs'!$O$23-'1 Reclamation and O&amp;M costs'!$O$22),'1 Reclamation and O&amp;M costs'!$I$89,0))*(1+$S$8)</f>
        <v>0</v>
      </c>
      <c r="U66" s="106">
        <f>SUMIF('1 Reclamation and O&amp;M costs'!$I$45:$I$60,"&gt;="&amp;Q66,'1 Reclamation and O&amp;M costs'!$Q$70:$Q$85)*(1+$S$8)</f>
        <v>0</v>
      </c>
      <c r="V66" s="86"/>
      <c r="W66" s="86">
        <f t="shared" si="12"/>
        <v>53</v>
      </c>
      <c r="X66" s="105">
        <f>SUMIF('1 Reclamation and O&amp;M costs'!$L$95:$L$112,'3 WM cash flow'!W66,'1 Reclamation and O&amp;M costs'!P$112:$P146)*(1+$S$7)</f>
        <v>0</v>
      </c>
      <c r="Y66" s="106">
        <f>SUMIF('1 Reclamation and O&amp;M costs'!$K$95:$K$112,'3 WM cash flow'!W66,'1 Reclamation and O&amp;M costs'!$T$95:$T$112)*(1+$S$7)</f>
        <v>0</v>
      </c>
      <c r="Z66" s="105">
        <f>SUMIF('1 Reclamation and O&amp;M costs'!$K$95:$K$112,"&gt;="&amp;M66,'1 Reclamation and O&amp;M costs'!$R$95:$R$112)*(1+$S$8)</f>
        <v>0</v>
      </c>
      <c r="AA66" s="106"/>
      <c r="AB66" s="86">
        <f t="shared" si="8"/>
        <v>53</v>
      </c>
      <c r="AC66" s="105">
        <f>SUMIF('1 Reclamation and O&amp;M costs'!$H$122:$H$132,'3 WM cash flow'!AB66,'1 Reclamation and O&amp;M costs'!$Q$122:$Q$132)*(1+$S$7)</f>
        <v>0</v>
      </c>
      <c r="AD66" s="106">
        <f>SUMIF('1 Reclamation and O&amp;M costs'!$H$122:$H$132,"&gt;="&amp;AB66,'1 Reclamation and O&amp;M costs'!$O$122:$O$132)*(1+$S$8)</f>
        <v>0</v>
      </c>
      <c r="AE66" s="108"/>
      <c r="AF66" s="86">
        <f t="shared" si="9"/>
        <v>53</v>
      </c>
      <c r="AG66" s="105">
        <f>(IF(AF66&lt;('1 Reclamation and O&amp;M costs'!$O$23-'1 Reclamation and O&amp;M costs'!$O$22),'2 Sampling Cost'!$O$13,IF(AF66&lt;'1 Reclamation and O&amp;M costs'!$O$24,'2 Sampling Cost'!$O$14,'2 Sampling Cost'!$O$15)))*(1+$S$8)</f>
        <v>3594.3250000000003</v>
      </c>
      <c r="AH66" s="106"/>
      <c r="AI66" s="105">
        <f t="shared" si="10"/>
        <v>3594.3250000000003</v>
      </c>
      <c r="AJ66" s="106"/>
    </row>
    <row r="67" spans="2:36" x14ac:dyDescent="0.25">
      <c r="B67" s="365">
        <f t="shared" si="13"/>
        <v>55</v>
      </c>
      <c r="C67" s="354">
        <f t="shared" si="1"/>
        <v>0</v>
      </c>
      <c r="D67" s="354">
        <f t="shared" si="2"/>
        <v>0</v>
      </c>
      <c r="E67" s="354">
        <f t="shared" si="3"/>
        <v>3594.3250000000003</v>
      </c>
      <c r="F67" s="354">
        <f t="shared" si="4"/>
        <v>3594.3250000000003</v>
      </c>
      <c r="M67" s="86">
        <f t="shared" si="14"/>
        <v>54</v>
      </c>
      <c r="N67" s="105">
        <f>SUMIF('1 Reclamation and O&amp;M costs'!$N$28:$N$37,M67,'1 Reclamation and O&amp;M costs'!$P$28:$P$37)*($S$7+1)</f>
        <v>0</v>
      </c>
      <c r="O67" s="106">
        <f>SUMIF('1 Reclamation and O&amp;M costs'!$M$28:$M$37,"&gt;="&amp;M67,'1 Reclamation and O&amp;M costs'!$R$28:$R$37)*($S$8+1)</f>
        <v>0</v>
      </c>
      <c r="P67" s="86"/>
      <c r="Q67" s="86">
        <f t="shared" si="11"/>
        <v>54</v>
      </c>
      <c r="R67" s="105">
        <f>SUMIF('1 Reclamation and O&amp;M costs'!$J$45:$J$60,'3 WM cash flow'!Q67,'1 Reclamation and O&amp;M costs'!$P$70:$P$85)*(1+$S$8)</f>
        <v>0</v>
      </c>
      <c r="S67" s="106">
        <f>SUMIF('1 Reclamation and O&amp;M costs'!$I$45:$I$60,'3 WM cash flow'!Q67,'1 Reclamation and O&amp;M costs'!$S$70:$S$85)*(1+$S$7)</f>
        <v>0</v>
      </c>
      <c r="T67" s="105">
        <f>(IF('3 WM cash flow'!Q67&lt;=('1 Reclamation and O&amp;M costs'!$O$23-'1 Reclamation and O&amp;M costs'!$O$22),0,SUMIF('1 Reclamation and O&amp;M costs'!$I$45:$I$60,"&gt;="&amp;'3 WM cash flow'!Q67,'1 Reclamation and O&amp;M costs'!$N$70:$N$85))+IF('3 WM cash flow'!Q67&lt;=('1 Reclamation and O&amp;M costs'!$O$23-'1 Reclamation and O&amp;M costs'!$O$22),'1 Reclamation and O&amp;M costs'!$I$89,0))*(1+$S$8)</f>
        <v>0</v>
      </c>
      <c r="U67" s="106">
        <f>SUMIF('1 Reclamation and O&amp;M costs'!$I$45:$I$60,"&gt;="&amp;Q67,'1 Reclamation and O&amp;M costs'!$Q$70:$Q$85)*(1+$S$8)</f>
        <v>0</v>
      </c>
      <c r="V67" s="86"/>
      <c r="W67" s="86">
        <f t="shared" si="12"/>
        <v>54</v>
      </c>
      <c r="X67" s="105">
        <f>SUMIF('1 Reclamation and O&amp;M costs'!$L$95:$L$112,'3 WM cash flow'!W67,'1 Reclamation and O&amp;M costs'!P$112:$P147)*(1+$S$7)</f>
        <v>0</v>
      </c>
      <c r="Y67" s="106">
        <f>SUMIF('1 Reclamation and O&amp;M costs'!$K$95:$K$112,'3 WM cash flow'!W67,'1 Reclamation and O&amp;M costs'!$T$95:$T$112)*(1+$S$7)</f>
        <v>0</v>
      </c>
      <c r="Z67" s="105">
        <f>SUMIF('1 Reclamation and O&amp;M costs'!$K$95:$K$112,"&gt;="&amp;M67,'1 Reclamation and O&amp;M costs'!$R$95:$R$112)*(1+$S$8)</f>
        <v>0</v>
      </c>
      <c r="AA67" s="106"/>
      <c r="AB67" s="86">
        <f t="shared" si="8"/>
        <v>54</v>
      </c>
      <c r="AC67" s="105">
        <f>SUMIF('1 Reclamation and O&amp;M costs'!$H$122:$H$132,'3 WM cash flow'!AB67,'1 Reclamation and O&amp;M costs'!$Q$122:$Q$132)*(1+$S$7)</f>
        <v>0</v>
      </c>
      <c r="AD67" s="106">
        <f>SUMIF('1 Reclamation and O&amp;M costs'!$H$122:$H$132,"&gt;="&amp;AB67,'1 Reclamation and O&amp;M costs'!$O$122:$O$132)*(1+$S$8)</f>
        <v>0</v>
      </c>
      <c r="AE67" s="108"/>
      <c r="AF67" s="86">
        <f t="shared" si="9"/>
        <v>54</v>
      </c>
      <c r="AG67" s="105">
        <f>(IF(AF67&lt;('1 Reclamation and O&amp;M costs'!$O$23-'1 Reclamation and O&amp;M costs'!$O$22),'2 Sampling Cost'!$O$13,IF(AF67&lt;'1 Reclamation and O&amp;M costs'!$O$24,'2 Sampling Cost'!$O$14,'2 Sampling Cost'!$O$15)))*(1+$S$8)</f>
        <v>3594.3250000000003</v>
      </c>
      <c r="AH67" s="106"/>
      <c r="AI67" s="105">
        <f t="shared" si="10"/>
        <v>3594.3250000000003</v>
      </c>
      <c r="AJ67" s="106"/>
    </row>
    <row r="68" spans="2:36" x14ac:dyDescent="0.25">
      <c r="B68" s="365">
        <f t="shared" si="13"/>
        <v>56</v>
      </c>
      <c r="C68" s="354">
        <f t="shared" si="1"/>
        <v>0</v>
      </c>
      <c r="D68" s="354">
        <f t="shared" si="2"/>
        <v>0</v>
      </c>
      <c r="E68" s="354">
        <f t="shared" si="3"/>
        <v>3594.3250000000003</v>
      </c>
      <c r="F68" s="354">
        <f t="shared" si="4"/>
        <v>3594.3250000000003</v>
      </c>
      <c r="M68" s="86">
        <f t="shared" si="14"/>
        <v>55</v>
      </c>
      <c r="N68" s="105">
        <f>SUMIF('1 Reclamation and O&amp;M costs'!$N$28:$N$37,M68,'1 Reclamation and O&amp;M costs'!$P$28:$P$37)*($S$7+1)</f>
        <v>0</v>
      </c>
      <c r="O68" s="106">
        <f>SUMIF('1 Reclamation and O&amp;M costs'!$M$28:$M$37,"&gt;="&amp;M68,'1 Reclamation and O&amp;M costs'!$R$28:$R$37)*($S$8+1)</f>
        <v>0</v>
      </c>
      <c r="P68" s="86"/>
      <c r="Q68" s="86">
        <f t="shared" si="11"/>
        <v>55</v>
      </c>
      <c r="R68" s="105">
        <f>SUMIF('1 Reclamation and O&amp;M costs'!$J$45:$J$60,'3 WM cash flow'!Q68,'1 Reclamation and O&amp;M costs'!$P$70:$P$85)*(1+$S$8)</f>
        <v>0</v>
      </c>
      <c r="S68" s="106">
        <f>SUMIF('1 Reclamation and O&amp;M costs'!$I$45:$I$60,'3 WM cash flow'!Q68,'1 Reclamation and O&amp;M costs'!$S$70:$S$85)*(1+$S$7)</f>
        <v>0</v>
      </c>
      <c r="T68" s="105">
        <f>(IF('3 WM cash flow'!Q68&lt;=('1 Reclamation and O&amp;M costs'!$O$23-'1 Reclamation and O&amp;M costs'!$O$22),0,SUMIF('1 Reclamation and O&amp;M costs'!$I$45:$I$60,"&gt;="&amp;'3 WM cash flow'!Q68,'1 Reclamation and O&amp;M costs'!$N$70:$N$85))+IF('3 WM cash flow'!Q68&lt;=('1 Reclamation and O&amp;M costs'!$O$23-'1 Reclamation and O&amp;M costs'!$O$22),'1 Reclamation and O&amp;M costs'!$I$89,0))*(1+$S$8)</f>
        <v>0</v>
      </c>
      <c r="U68" s="106">
        <f>SUMIF('1 Reclamation and O&amp;M costs'!$I$45:$I$60,"&gt;="&amp;Q68,'1 Reclamation and O&amp;M costs'!$Q$70:$Q$85)*(1+$S$8)</f>
        <v>0</v>
      </c>
      <c r="V68" s="86"/>
      <c r="W68" s="86">
        <f t="shared" si="12"/>
        <v>55</v>
      </c>
      <c r="X68" s="105">
        <f>SUMIF('1 Reclamation and O&amp;M costs'!$L$95:$L$112,'3 WM cash flow'!W68,'1 Reclamation and O&amp;M costs'!P$112:$P148)*(1+$S$7)</f>
        <v>0</v>
      </c>
      <c r="Y68" s="106">
        <f>SUMIF('1 Reclamation and O&amp;M costs'!$K$95:$K$112,'3 WM cash flow'!W68,'1 Reclamation and O&amp;M costs'!$T$95:$T$112)*(1+$S$7)</f>
        <v>0</v>
      </c>
      <c r="Z68" s="105">
        <f>SUMIF('1 Reclamation and O&amp;M costs'!$K$95:$K$112,"&gt;="&amp;M68,'1 Reclamation and O&amp;M costs'!$R$95:$R$112)*(1+$S$8)</f>
        <v>0</v>
      </c>
      <c r="AA68" s="106"/>
      <c r="AB68" s="86">
        <f t="shared" si="8"/>
        <v>55</v>
      </c>
      <c r="AC68" s="105">
        <f>SUMIF('1 Reclamation and O&amp;M costs'!$H$122:$H$132,'3 WM cash flow'!AB68,'1 Reclamation and O&amp;M costs'!$Q$122:$Q$132)*(1+$S$7)</f>
        <v>0</v>
      </c>
      <c r="AD68" s="106">
        <f>SUMIF('1 Reclamation and O&amp;M costs'!$H$122:$H$132,"&gt;="&amp;AB68,'1 Reclamation and O&amp;M costs'!$O$122:$O$132)*(1+$S$8)</f>
        <v>0</v>
      </c>
      <c r="AE68" s="108"/>
      <c r="AF68" s="86">
        <f t="shared" si="9"/>
        <v>55</v>
      </c>
      <c r="AG68" s="105">
        <f>(IF(AF68&lt;('1 Reclamation and O&amp;M costs'!$O$23-'1 Reclamation and O&amp;M costs'!$O$22),'2 Sampling Cost'!$O$13,IF(AF68&lt;'1 Reclamation and O&amp;M costs'!$O$24,'2 Sampling Cost'!$O$14,'2 Sampling Cost'!$O$15)))*(1+$S$8)</f>
        <v>3594.3250000000003</v>
      </c>
      <c r="AH68" s="106"/>
      <c r="AI68" s="105">
        <f t="shared" si="10"/>
        <v>3594.3250000000003</v>
      </c>
      <c r="AJ68" s="106"/>
    </row>
    <row r="69" spans="2:36" x14ac:dyDescent="0.25">
      <c r="B69" s="365">
        <f t="shared" si="13"/>
        <v>57</v>
      </c>
      <c r="C69" s="354">
        <f t="shared" si="1"/>
        <v>0</v>
      </c>
      <c r="D69" s="354">
        <f t="shared" si="2"/>
        <v>0</v>
      </c>
      <c r="E69" s="354">
        <f t="shared" si="3"/>
        <v>3594.3250000000003</v>
      </c>
      <c r="F69" s="354">
        <f t="shared" si="4"/>
        <v>3594.3250000000003</v>
      </c>
      <c r="M69" s="86">
        <f t="shared" si="14"/>
        <v>56</v>
      </c>
      <c r="N69" s="105">
        <f>SUMIF('1 Reclamation and O&amp;M costs'!$N$28:$N$37,M69,'1 Reclamation and O&amp;M costs'!$P$28:$P$37)*($S$7+1)</f>
        <v>0</v>
      </c>
      <c r="O69" s="106">
        <f>SUMIF('1 Reclamation and O&amp;M costs'!$M$28:$M$37,"&gt;="&amp;M69,'1 Reclamation and O&amp;M costs'!$R$28:$R$37)*($S$8+1)</f>
        <v>0</v>
      </c>
      <c r="P69" s="86"/>
      <c r="Q69" s="86">
        <f t="shared" si="11"/>
        <v>56</v>
      </c>
      <c r="R69" s="105">
        <f>SUMIF('1 Reclamation and O&amp;M costs'!$J$45:$J$60,'3 WM cash flow'!Q69,'1 Reclamation and O&amp;M costs'!$P$70:$P$85)*(1+$S$8)</f>
        <v>0</v>
      </c>
      <c r="S69" s="106">
        <f>SUMIF('1 Reclamation and O&amp;M costs'!$I$45:$I$60,'3 WM cash flow'!Q69,'1 Reclamation and O&amp;M costs'!$S$70:$S$85)*(1+$S$7)</f>
        <v>0</v>
      </c>
      <c r="T69" s="105">
        <f>(IF('3 WM cash flow'!Q69&lt;=('1 Reclamation and O&amp;M costs'!$O$23-'1 Reclamation and O&amp;M costs'!$O$22),0,SUMIF('1 Reclamation and O&amp;M costs'!$I$45:$I$60,"&gt;="&amp;'3 WM cash flow'!Q69,'1 Reclamation and O&amp;M costs'!$N$70:$N$85))+IF('3 WM cash flow'!Q69&lt;=('1 Reclamation and O&amp;M costs'!$O$23-'1 Reclamation and O&amp;M costs'!$O$22),'1 Reclamation and O&amp;M costs'!$I$89,0))*(1+$S$8)</f>
        <v>0</v>
      </c>
      <c r="U69" s="106">
        <f>SUMIF('1 Reclamation and O&amp;M costs'!$I$45:$I$60,"&gt;="&amp;Q69,'1 Reclamation and O&amp;M costs'!$Q$70:$Q$85)*(1+$S$8)</f>
        <v>0</v>
      </c>
      <c r="V69" s="86"/>
      <c r="W69" s="86">
        <f t="shared" si="12"/>
        <v>56</v>
      </c>
      <c r="X69" s="105">
        <f>SUMIF('1 Reclamation and O&amp;M costs'!$L$95:$L$112,'3 WM cash flow'!W69,'1 Reclamation and O&amp;M costs'!P$112:$P149)*(1+$S$7)</f>
        <v>0</v>
      </c>
      <c r="Y69" s="106">
        <f>SUMIF('1 Reclamation and O&amp;M costs'!$K$95:$K$112,'3 WM cash flow'!W69,'1 Reclamation and O&amp;M costs'!$T$95:$T$112)*(1+$S$7)</f>
        <v>0</v>
      </c>
      <c r="Z69" s="105">
        <f>SUMIF('1 Reclamation and O&amp;M costs'!$K$95:$K$112,"&gt;="&amp;M69,'1 Reclamation and O&amp;M costs'!$R$95:$R$112)*(1+$S$8)</f>
        <v>0</v>
      </c>
      <c r="AA69" s="106"/>
      <c r="AB69" s="86">
        <f t="shared" si="8"/>
        <v>56</v>
      </c>
      <c r="AC69" s="105">
        <f>SUMIF('1 Reclamation and O&amp;M costs'!$H$122:$H$132,'3 WM cash flow'!AB69,'1 Reclamation and O&amp;M costs'!$Q$122:$Q$132)*(1+$S$7)</f>
        <v>0</v>
      </c>
      <c r="AD69" s="106">
        <f>SUMIF('1 Reclamation and O&amp;M costs'!$H$122:$H$132,"&gt;="&amp;AB69,'1 Reclamation and O&amp;M costs'!$O$122:$O$132)*(1+$S$8)</f>
        <v>0</v>
      </c>
      <c r="AE69" s="108"/>
      <c r="AF69" s="86">
        <f t="shared" si="9"/>
        <v>56</v>
      </c>
      <c r="AG69" s="105">
        <f>(IF(AF69&lt;('1 Reclamation and O&amp;M costs'!$O$23-'1 Reclamation and O&amp;M costs'!$O$22),'2 Sampling Cost'!$O$13,IF(AF69&lt;'1 Reclamation and O&amp;M costs'!$O$24,'2 Sampling Cost'!$O$14,'2 Sampling Cost'!$O$15)))*(1+$S$8)</f>
        <v>3594.3250000000003</v>
      </c>
      <c r="AH69" s="106"/>
      <c r="AI69" s="105">
        <f t="shared" si="10"/>
        <v>3594.3250000000003</v>
      </c>
      <c r="AJ69" s="106"/>
    </row>
    <row r="70" spans="2:36" x14ac:dyDescent="0.25">
      <c r="B70" s="365">
        <f t="shared" si="13"/>
        <v>58</v>
      </c>
      <c r="C70" s="354">
        <f t="shared" si="1"/>
        <v>0</v>
      </c>
      <c r="D70" s="354">
        <f t="shared" si="2"/>
        <v>0</v>
      </c>
      <c r="E70" s="354">
        <f t="shared" si="3"/>
        <v>3594.3250000000003</v>
      </c>
      <c r="F70" s="354">
        <f t="shared" si="4"/>
        <v>3594.3250000000003</v>
      </c>
      <c r="M70" s="86">
        <f t="shared" si="14"/>
        <v>57</v>
      </c>
      <c r="N70" s="105">
        <f>SUMIF('1 Reclamation and O&amp;M costs'!$N$28:$N$37,M70,'1 Reclamation and O&amp;M costs'!$P$28:$P$37)*($S$7+1)</f>
        <v>0</v>
      </c>
      <c r="O70" s="106">
        <f>SUMIF('1 Reclamation and O&amp;M costs'!$M$28:$M$37,"&gt;="&amp;M70,'1 Reclamation and O&amp;M costs'!$R$28:$R$37)*($S$8+1)</f>
        <v>0</v>
      </c>
      <c r="P70" s="86"/>
      <c r="Q70" s="86">
        <f t="shared" si="11"/>
        <v>57</v>
      </c>
      <c r="R70" s="105">
        <f>SUMIF('1 Reclamation and O&amp;M costs'!$J$45:$J$60,'3 WM cash flow'!Q70,'1 Reclamation and O&amp;M costs'!$P$70:$P$85)*(1+$S$8)</f>
        <v>0</v>
      </c>
      <c r="S70" s="106">
        <f>SUMIF('1 Reclamation and O&amp;M costs'!$I$45:$I$60,'3 WM cash flow'!Q70,'1 Reclamation and O&amp;M costs'!$S$70:$S$85)*(1+$S$7)</f>
        <v>0</v>
      </c>
      <c r="T70" s="105">
        <f>(IF('3 WM cash flow'!Q70&lt;=('1 Reclamation and O&amp;M costs'!$O$23-'1 Reclamation and O&amp;M costs'!$O$22),0,SUMIF('1 Reclamation and O&amp;M costs'!$I$45:$I$60,"&gt;="&amp;'3 WM cash flow'!Q70,'1 Reclamation and O&amp;M costs'!$N$70:$N$85))+IF('3 WM cash flow'!Q70&lt;=('1 Reclamation and O&amp;M costs'!$O$23-'1 Reclamation and O&amp;M costs'!$O$22),'1 Reclamation and O&amp;M costs'!$I$89,0))*(1+$S$8)</f>
        <v>0</v>
      </c>
      <c r="U70" s="106">
        <f>SUMIF('1 Reclamation and O&amp;M costs'!$I$45:$I$60,"&gt;="&amp;Q70,'1 Reclamation and O&amp;M costs'!$Q$70:$Q$85)*(1+$S$8)</f>
        <v>0</v>
      </c>
      <c r="V70" s="86"/>
      <c r="W70" s="86">
        <f t="shared" si="12"/>
        <v>57</v>
      </c>
      <c r="X70" s="105">
        <f>SUMIF('1 Reclamation and O&amp;M costs'!$L$95:$L$112,'3 WM cash flow'!W70,'1 Reclamation and O&amp;M costs'!P$112:$P150)*(1+$S$7)</f>
        <v>0</v>
      </c>
      <c r="Y70" s="106">
        <f>SUMIF('1 Reclamation and O&amp;M costs'!$K$95:$K$112,'3 WM cash flow'!W70,'1 Reclamation and O&amp;M costs'!$T$95:$T$112)*(1+$S$7)</f>
        <v>0</v>
      </c>
      <c r="Z70" s="105">
        <f>SUMIF('1 Reclamation and O&amp;M costs'!$K$95:$K$112,"&gt;="&amp;M70,'1 Reclamation and O&amp;M costs'!$R$95:$R$112)*(1+$S$8)</f>
        <v>0</v>
      </c>
      <c r="AA70" s="106"/>
      <c r="AB70" s="86">
        <f t="shared" si="8"/>
        <v>57</v>
      </c>
      <c r="AC70" s="105">
        <f>SUMIF('1 Reclamation and O&amp;M costs'!$H$122:$H$132,'3 WM cash flow'!AB70,'1 Reclamation and O&amp;M costs'!$Q$122:$Q$132)*(1+$S$7)</f>
        <v>0</v>
      </c>
      <c r="AD70" s="106">
        <f>SUMIF('1 Reclamation and O&amp;M costs'!$H$122:$H$132,"&gt;="&amp;AB70,'1 Reclamation and O&amp;M costs'!$O$122:$O$132)*(1+$S$8)</f>
        <v>0</v>
      </c>
      <c r="AE70" s="108"/>
      <c r="AF70" s="86">
        <f t="shared" si="9"/>
        <v>57</v>
      </c>
      <c r="AG70" s="105">
        <f>(IF(AF70&lt;('1 Reclamation and O&amp;M costs'!$O$23-'1 Reclamation and O&amp;M costs'!$O$22),'2 Sampling Cost'!$O$13,IF(AF70&lt;'1 Reclamation and O&amp;M costs'!$O$24,'2 Sampling Cost'!$O$14,'2 Sampling Cost'!$O$15)))*(1+$S$8)</f>
        <v>3594.3250000000003</v>
      </c>
      <c r="AH70" s="106"/>
      <c r="AI70" s="105">
        <f t="shared" si="10"/>
        <v>3594.3250000000003</v>
      </c>
      <c r="AJ70" s="106"/>
    </row>
    <row r="71" spans="2:36" x14ac:dyDescent="0.25">
      <c r="B71" s="365">
        <f t="shared" si="13"/>
        <v>59</v>
      </c>
      <c r="C71" s="354">
        <f t="shared" si="1"/>
        <v>0</v>
      </c>
      <c r="D71" s="354">
        <f t="shared" si="2"/>
        <v>0</v>
      </c>
      <c r="E71" s="354">
        <f t="shared" si="3"/>
        <v>3594.3250000000003</v>
      </c>
      <c r="F71" s="354">
        <f t="shared" si="4"/>
        <v>3594.3250000000003</v>
      </c>
      <c r="M71" s="86">
        <f t="shared" si="14"/>
        <v>58</v>
      </c>
      <c r="N71" s="105">
        <f>SUMIF('1 Reclamation and O&amp;M costs'!$N$28:$N$37,M71,'1 Reclamation and O&amp;M costs'!$P$28:$P$37)*($S$7+1)</f>
        <v>0</v>
      </c>
      <c r="O71" s="106">
        <f>SUMIF('1 Reclamation and O&amp;M costs'!$M$28:$M$37,"&gt;="&amp;M71,'1 Reclamation and O&amp;M costs'!$R$28:$R$37)*($S$8+1)</f>
        <v>0</v>
      </c>
      <c r="P71" s="86"/>
      <c r="Q71" s="86">
        <f t="shared" si="11"/>
        <v>58</v>
      </c>
      <c r="R71" s="105">
        <f>SUMIF('1 Reclamation and O&amp;M costs'!$J$45:$J$60,'3 WM cash flow'!Q71,'1 Reclamation and O&amp;M costs'!$P$70:$P$85)*(1+$S$8)</f>
        <v>0</v>
      </c>
      <c r="S71" s="106">
        <f>SUMIF('1 Reclamation and O&amp;M costs'!$I$45:$I$60,'3 WM cash flow'!Q71,'1 Reclamation and O&amp;M costs'!$S$70:$S$85)*(1+$S$7)</f>
        <v>0</v>
      </c>
      <c r="T71" s="105">
        <f>(IF('3 WM cash flow'!Q71&lt;=('1 Reclamation and O&amp;M costs'!$O$23-'1 Reclamation and O&amp;M costs'!$O$22),0,SUMIF('1 Reclamation and O&amp;M costs'!$I$45:$I$60,"&gt;="&amp;'3 WM cash flow'!Q71,'1 Reclamation and O&amp;M costs'!$N$70:$N$85))+IF('3 WM cash flow'!Q71&lt;=('1 Reclamation and O&amp;M costs'!$O$23-'1 Reclamation and O&amp;M costs'!$O$22),'1 Reclamation and O&amp;M costs'!$I$89,0))*(1+$S$8)</f>
        <v>0</v>
      </c>
      <c r="U71" s="106">
        <f>SUMIF('1 Reclamation and O&amp;M costs'!$I$45:$I$60,"&gt;="&amp;Q71,'1 Reclamation and O&amp;M costs'!$Q$70:$Q$85)*(1+$S$8)</f>
        <v>0</v>
      </c>
      <c r="V71" s="86"/>
      <c r="W71" s="86">
        <f t="shared" si="12"/>
        <v>58</v>
      </c>
      <c r="X71" s="105">
        <f>SUMIF('1 Reclamation and O&amp;M costs'!$L$95:$L$112,'3 WM cash flow'!W71,'1 Reclamation and O&amp;M costs'!P$112:$P151)*(1+$S$7)</f>
        <v>0</v>
      </c>
      <c r="Y71" s="106">
        <f>SUMIF('1 Reclamation and O&amp;M costs'!$K$95:$K$112,'3 WM cash flow'!W71,'1 Reclamation and O&amp;M costs'!$T$95:$T$112)*(1+$S$7)</f>
        <v>0</v>
      </c>
      <c r="Z71" s="105">
        <f>SUMIF('1 Reclamation and O&amp;M costs'!$K$95:$K$112,"&gt;="&amp;M71,'1 Reclamation and O&amp;M costs'!$R$95:$R$112)*(1+$S$8)</f>
        <v>0</v>
      </c>
      <c r="AA71" s="106"/>
      <c r="AB71" s="86">
        <f t="shared" si="8"/>
        <v>58</v>
      </c>
      <c r="AC71" s="105">
        <f>SUMIF('1 Reclamation and O&amp;M costs'!$H$122:$H$132,'3 WM cash flow'!AB71,'1 Reclamation and O&amp;M costs'!$Q$122:$Q$132)*(1+$S$7)</f>
        <v>0</v>
      </c>
      <c r="AD71" s="106">
        <f>SUMIF('1 Reclamation and O&amp;M costs'!$H$122:$H$132,"&gt;="&amp;AB71,'1 Reclamation and O&amp;M costs'!$O$122:$O$132)*(1+$S$8)</f>
        <v>0</v>
      </c>
      <c r="AE71" s="108"/>
      <c r="AF71" s="86">
        <f t="shared" si="9"/>
        <v>58</v>
      </c>
      <c r="AG71" s="105">
        <f>(IF(AF71&lt;('1 Reclamation and O&amp;M costs'!$O$23-'1 Reclamation and O&amp;M costs'!$O$22),'2 Sampling Cost'!$O$13,IF(AF71&lt;'1 Reclamation and O&amp;M costs'!$O$24,'2 Sampling Cost'!$O$14,'2 Sampling Cost'!$O$15)))*(1+$S$8)</f>
        <v>3594.3250000000003</v>
      </c>
      <c r="AH71" s="106"/>
      <c r="AI71" s="105">
        <f t="shared" si="10"/>
        <v>3594.3250000000003</v>
      </c>
      <c r="AJ71" s="106"/>
    </row>
    <row r="72" spans="2:36" x14ac:dyDescent="0.25">
      <c r="B72" s="365">
        <f t="shared" si="13"/>
        <v>60</v>
      </c>
      <c r="C72" s="354">
        <f t="shared" si="1"/>
        <v>0</v>
      </c>
      <c r="D72" s="354">
        <f t="shared" si="2"/>
        <v>0</v>
      </c>
      <c r="E72" s="354">
        <f t="shared" si="3"/>
        <v>3594.3250000000003</v>
      </c>
      <c r="F72" s="354">
        <f t="shared" si="4"/>
        <v>3594.3250000000003</v>
      </c>
      <c r="M72" s="86">
        <f t="shared" si="14"/>
        <v>59</v>
      </c>
      <c r="N72" s="105">
        <f>SUMIF('1 Reclamation and O&amp;M costs'!$N$28:$N$37,M72,'1 Reclamation and O&amp;M costs'!$P$28:$P$37)*($S$7+1)</f>
        <v>0</v>
      </c>
      <c r="O72" s="106">
        <f>SUMIF('1 Reclamation and O&amp;M costs'!$M$28:$M$37,"&gt;="&amp;M72,'1 Reclamation and O&amp;M costs'!$R$28:$R$37)*($S$8+1)</f>
        <v>0</v>
      </c>
      <c r="P72" s="86"/>
      <c r="Q72" s="86">
        <f t="shared" si="11"/>
        <v>59</v>
      </c>
      <c r="R72" s="105">
        <f>SUMIF('1 Reclamation and O&amp;M costs'!$J$45:$J$60,'3 WM cash flow'!Q72,'1 Reclamation and O&amp;M costs'!$P$70:$P$85)*(1+$S$8)</f>
        <v>0</v>
      </c>
      <c r="S72" s="106">
        <f>SUMIF('1 Reclamation and O&amp;M costs'!$I$45:$I$60,'3 WM cash flow'!Q72,'1 Reclamation and O&amp;M costs'!$S$70:$S$85)*(1+$S$7)</f>
        <v>0</v>
      </c>
      <c r="T72" s="105">
        <f>(IF('3 WM cash flow'!Q72&lt;=('1 Reclamation and O&amp;M costs'!$O$23-'1 Reclamation and O&amp;M costs'!$O$22),0,SUMIF('1 Reclamation and O&amp;M costs'!$I$45:$I$60,"&gt;="&amp;'3 WM cash flow'!Q72,'1 Reclamation and O&amp;M costs'!$N$70:$N$85))+IF('3 WM cash flow'!Q72&lt;=('1 Reclamation and O&amp;M costs'!$O$23-'1 Reclamation and O&amp;M costs'!$O$22),'1 Reclamation and O&amp;M costs'!$I$89,0))*(1+$S$8)</f>
        <v>0</v>
      </c>
      <c r="U72" s="106">
        <f>SUMIF('1 Reclamation and O&amp;M costs'!$I$45:$I$60,"&gt;="&amp;Q72,'1 Reclamation and O&amp;M costs'!$Q$70:$Q$85)*(1+$S$8)</f>
        <v>0</v>
      </c>
      <c r="V72" s="86"/>
      <c r="W72" s="86">
        <f t="shared" si="12"/>
        <v>59</v>
      </c>
      <c r="X72" s="105">
        <f>SUMIF('1 Reclamation and O&amp;M costs'!$L$95:$L$112,'3 WM cash flow'!W72,'1 Reclamation and O&amp;M costs'!P$112:$P152)*(1+$S$7)</f>
        <v>0</v>
      </c>
      <c r="Y72" s="106">
        <f>SUMIF('1 Reclamation and O&amp;M costs'!$K$95:$K$112,'3 WM cash flow'!W72,'1 Reclamation and O&amp;M costs'!$T$95:$T$112)*(1+$S$7)</f>
        <v>0</v>
      </c>
      <c r="Z72" s="105">
        <f>SUMIF('1 Reclamation and O&amp;M costs'!$K$95:$K$112,"&gt;="&amp;M72,'1 Reclamation and O&amp;M costs'!$R$95:$R$112)*(1+$S$8)</f>
        <v>0</v>
      </c>
      <c r="AA72" s="106"/>
      <c r="AB72" s="86">
        <f t="shared" si="8"/>
        <v>59</v>
      </c>
      <c r="AC72" s="105">
        <f>SUMIF('1 Reclamation and O&amp;M costs'!$H$122:$H$132,'3 WM cash flow'!AB72,'1 Reclamation and O&amp;M costs'!$Q$122:$Q$132)*(1+$S$7)</f>
        <v>0</v>
      </c>
      <c r="AD72" s="106">
        <f>SUMIF('1 Reclamation and O&amp;M costs'!$H$122:$H$132,"&gt;="&amp;AB72,'1 Reclamation and O&amp;M costs'!$O$122:$O$132)*(1+$S$8)</f>
        <v>0</v>
      </c>
      <c r="AE72" s="108"/>
      <c r="AF72" s="86">
        <f t="shared" si="9"/>
        <v>59</v>
      </c>
      <c r="AG72" s="105">
        <f>(IF(AF72&lt;('1 Reclamation and O&amp;M costs'!$O$23-'1 Reclamation and O&amp;M costs'!$O$22),'2 Sampling Cost'!$O$13,IF(AF72&lt;'1 Reclamation and O&amp;M costs'!$O$24,'2 Sampling Cost'!$O$14,'2 Sampling Cost'!$O$15)))*(1+$S$8)</f>
        <v>3594.3250000000003</v>
      </c>
      <c r="AH72" s="106"/>
      <c r="AI72" s="105">
        <f t="shared" si="10"/>
        <v>3594.3250000000003</v>
      </c>
      <c r="AJ72" s="106"/>
    </row>
    <row r="73" spans="2:36" x14ac:dyDescent="0.25">
      <c r="B73" s="365">
        <f t="shared" si="13"/>
        <v>61</v>
      </c>
      <c r="C73" s="354">
        <f t="shared" si="1"/>
        <v>0</v>
      </c>
      <c r="D73" s="354">
        <f t="shared" si="2"/>
        <v>0</v>
      </c>
      <c r="E73" s="354">
        <f t="shared" si="3"/>
        <v>3594.3250000000003</v>
      </c>
      <c r="F73" s="354">
        <f t="shared" si="4"/>
        <v>3594.3250000000003</v>
      </c>
      <c r="M73" s="86">
        <f t="shared" si="14"/>
        <v>60</v>
      </c>
      <c r="N73" s="105">
        <f>SUMIF('1 Reclamation and O&amp;M costs'!$N$28:$N$37,M73,'1 Reclamation and O&amp;M costs'!$P$28:$P$37)*($S$7+1)</f>
        <v>0</v>
      </c>
      <c r="O73" s="106">
        <f>SUMIF('1 Reclamation and O&amp;M costs'!$M$28:$M$37,"&gt;="&amp;M73,'1 Reclamation and O&amp;M costs'!$R$28:$R$37)*($S$8+1)</f>
        <v>0</v>
      </c>
      <c r="P73" s="86"/>
      <c r="Q73" s="86">
        <f t="shared" si="11"/>
        <v>60</v>
      </c>
      <c r="R73" s="105">
        <f>SUMIF('1 Reclamation and O&amp;M costs'!$J$45:$J$60,'3 WM cash flow'!Q73,'1 Reclamation and O&amp;M costs'!$P$70:$P$85)*(1+$S$8)</f>
        <v>0</v>
      </c>
      <c r="S73" s="106">
        <f>SUMIF('1 Reclamation and O&amp;M costs'!$I$45:$I$60,'3 WM cash flow'!Q73,'1 Reclamation and O&amp;M costs'!$S$70:$S$85)*(1+$S$7)</f>
        <v>0</v>
      </c>
      <c r="T73" s="105">
        <f>(IF('3 WM cash flow'!Q73&lt;=('1 Reclamation and O&amp;M costs'!$O$23-'1 Reclamation and O&amp;M costs'!$O$22),0,SUMIF('1 Reclamation and O&amp;M costs'!$I$45:$I$60,"&gt;="&amp;'3 WM cash flow'!Q73,'1 Reclamation and O&amp;M costs'!$N$70:$N$85))+IF('3 WM cash flow'!Q73&lt;=('1 Reclamation and O&amp;M costs'!$O$23-'1 Reclamation and O&amp;M costs'!$O$22),'1 Reclamation and O&amp;M costs'!$I$89,0))*(1+$S$8)</f>
        <v>0</v>
      </c>
      <c r="U73" s="106">
        <f>SUMIF('1 Reclamation and O&amp;M costs'!$I$45:$I$60,"&gt;="&amp;Q73,'1 Reclamation and O&amp;M costs'!$Q$70:$Q$85)*(1+$S$8)</f>
        <v>0</v>
      </c>
      <c r="V73" s="86"/>
      <c r="W73" s="86">
        <f t="shared" si="12"/>
        <v>60</v>
      </c>
      <c r="X73" s="105">
        <f>SUMIF('1 Reclamation and O&amp;M costs'!$L$95:$L$112,'3 WM cash flow'!W73,'1 Reclamation and O&amp;M costs'!P$112:$P153)*(1+$S$7)</f>
        <v>0</v>
      </c>
      <c r="Y73" s="106">
        <f>SUMIF('1 Reclamation and O&amp;M costs'!$K$95:$K$112,'3 WM cash flow'!W73,'1 Reclamation and O&amp;M costs'!$T$95:$T$112)*(1+$S$7)</f>
        <v>0</v>
      </c>
      <c r="Z73" s="105">
        <f>SUMIF('1 Reclamation and O&amp;M costs'!$K$95:$K$112,"&gt;="&amp;M73,'1 Reclamation and O&amp;M costs'!$R$95:$R$112)*(1+$S$8)</f>
        <v>0</v>
      </c>
      <c r="AA73" s="106"/>
      <c r="AB73" s="86">
        <f t="shared" si="8"/>
        <v>60</v>
      </c>
      <c r="AC73" s="105">
        <f>SUMIF('1 Reclamation and O&amp;M costs'!$H$122:$H$132,'3 WM cash flow'!AB73,'1 Reclamation and O&amp;M costs'!$Q$122:$Q$132)*(1+$S$7)</f>
        <v>0</v>
      </c>
      <c r="AD73" s="106">
        <f>SUMIF('1 Reclamation and O&amp;M costs'!$H$122:$H$132,"&gt;="&amp;AB73,'1 Reclamation and O&amp;M costs'!$O$122:$O$132)*(1+$S$8)</f>
        <v>0</v>
      </c>
      <c r="AE73" s="108"/>
      <c r="AF73" s="86">
        <f t="shared" si="9"/>
        <v>60</v>
      </c>
      <c r="AG73" s="105">
        <f>(IF(AF73&lt;('1 Reclamation and O&amp;M costs'!$O$23-'1 Reclamation and O&amp;M costs'!$O$22),'2 Sampling Cost'!$O$13,IF(AF73&lt;'1 Reclamation and O&amp;M costs'!$O$24,'2 Sampling Cost'!$O$14,'2 Sampling Cost'!$O$15)))*(1+$S$8)</f>
        <v>3594.3250000000003</v>
      </c>
      <c r="AH73" s="106"/>
      <c r="AI73" s="105">
        <f t="shared" si="10"/>
        <v>3594.3250000000003</v>
      </c>
      <c r="AJ73" s="106"/>
    </row>
    <row r="74" spans="2:36" x14ac:dyDescent="0.25">
      <c r="B74" s="365">
        <f t="shared" si="13"/>
        <v>62</v>
      </c>
      <c r="C74" s="354">
        <f t="shared" si="1"/>
        <v>0</v>
      </c>
      <c r="D74" s="354">
        <f t="shared" si="2"/>
        <v>0</v>
      </c>
      <c r="E74" s="354">
        <f t="shared" si="3"/>
        <v>3594.3250000000003</v>
      </c>
      <c r="F74" s="354">
        <f t="shared" si="4"/>
        <v>3594.3250000000003</v>
      </c>
      <c r="M74" s="86">
        <f t="shared" si="14"/>
        <v>61</v>
      </c>
      <c r="N74" s="105">
        <f>SUMIF('1 Reclamation and O&amp;M costs'!$N$28:$N$37,M74,'1 Reclamation and O&amp;M costs'!$P$28:$P$37)*($S$7+1)</f>
        <v>0</v>
      </c>
      <c r="O74" s="106">
        <f>SUMIF('1 Reclamation and O&amp;M costs'!$M$28:$M$37,"&gt;="&amp;M74,'1 Reclamation and O&amp;M costs'!$R$28:$R$37)*($S$8+1)</f>
        <v>0</v>
      </c>
      <c r="P74" s="86"/>
      <c r="Q74" s="86">
        <f t="shared" si="11"/>
        <v>61</v>
      </c>
      <c r="R74" s="105">
        <f>SUMIF('1 Reclamation and O&amp;M costs'!$J$45:$J$60,'3 WM cash flow'!Q74,'1 Reclamation and O&amp;M costs'!$P$70:$P$85)*(1+$S$8)</f>
        <v>0</v>
      </c>
      <c r="S74" s="106">
        <f>SUMIF('1 Reclamation and O&amp;M costs'!$I$45:$I$60,'3 WM cash flow'!Q74,'1 Reclamation and O&amp;M costs'!$S$70:$S$85)*(1+$S$7)</f>
        <v>0</v>
      </c>
      <c r="T74" s="105">
        <f>(IF('3 WM cash flow'!Q74&lt;=('1 Reclamation and O&amp;M costs'!$O$23-'1 Reclamation and O&amp;M costs'!$O$22),0,SUMIF('1 Reclamation and O&amp;M costs'!$I$45:$I$60,"&gt;="&amp;'3 WM cash flow'!Q74,'1 Reclamation and O&amp;M costs'!$N$70:$N$85))+IF('3 WM cash flow'!Q74&lt;=('1 Reclamation and O&amp;M costs'!$O$23-'1 Reclamation and O&amp;M costs'!$O$22),'1 Reclamation and O&amp;M costs'!$I$89,0))*(1+$S$8)</f>
        <v>0</v>
      </c>
      <c r="U74" s="106">
        <f>SUMIF('1 Reclamation and O&amp;M costs'!$I$45:$I$60,"&gt;="&amp;Q74,'1 Reclamation and O&amp;M costs'!$Q$70:$Q$85)*(1+$S$8)</f>
        <v>0</v>
      </c>
      <c r="V74" s="86"/>
      <c r="W74" s="86">
        <f t="shared" si="12"/>
        <v>61</v>
      </c>
      <c r="X74" s="105">
        <f>SUMIF('1 Reclamation and O&amp;M costs'!$L$95:$L$112,'3 WM cash flow'!W74,'1 Reclamation and O&amp;M costs'!P$112:$P154)*(1+$S$7)</f>
        <v>0</v>
      </c>
      <c r="Y74" s="106">
        <f>SUMIF('1 Reclamation and O&amp;M costs'!$K$95:$K$112,'3 WM cash flow'!W74,'1 Reclamation and O&amp;M costs'!$T$95:$T$112)*(1+$S$7)</f>
        <v>0</v>
      </c>
      <c r="Z74" s="105">
        <f>SUMIF('1 Reclamation and O&amp;M costs'!$K$95:$K$112,"&gt;="&amp;M74,'1 Reclamation and O&amp;M costs'!$R$95:$R$112)*(1+$S$8)</f>
        <v>0</v>
      </c>
      <c r="AA74" s="106"/>
      <c r="AB74" s="86">
        <f t="shared" si="8"/>
        <v>61</v>
      </c>
      <c r="AC74" s="105">
        <f>SUMIF('1 Reclamation and O&amp;M costs'!$H$122:$H$132,'3 WM cash flow'!AB74,'1 Reclamation and O&amp;M costs'!$Q$122:$Q$132)*(1+$S$7)</f>
        <v>0</v>
      </c>
      <c r="AD74" s="106">
        <f>SUMIF('1 Reclamation and O&amp;M costs'!$H$122:$H$132,"&gt;="&amp;AB74,'1 Reclamation and O&amp;M costs'!$O$122:$O$132)*(1+$S$8)</f>
        <v>0</v>
      </c>
      <c r="AE74" s="108"/>
      <c r="AF74" s="86">
        <f t="shared" si="9"/>
        <v>61</v>
      </c>
      <c r="AG74" s="105">
        <f>(IF(AF74&lt;('1 Reclamation and O&amp;M costs'!$O$23-'1 Reclamation and O&amp;M costs'!$O$22),'2 Sampling Cost'!$O$13,IF(AF74&lt;'1 Reclamation and O&amp;M costs'!$O$24,'2 Sampling Cost'!$O$14,'2 Sampling Cost'!$O$15)))*(1+$S$8)</f>
        <v>3594.3250000000003</v>
      </c>
      <c r="AH74" s="106"/>
      <c r="AI74" s="105">
        <f t="shared" si="10"/>
        <v>3594.3250000000003</v>
      </c>
      <c r="AJ74" s="106"/>
    </row>
    <row r="75" spans="2:36" x14ac:dyDescent="0.25">
      <c r="B75" s="365">
        <f t="shared" si="13"/>
        <v>63</v>
      </c>
      <c r="C75" s="354">
        <f t="shared" si="1"/>
        <v>0</v>
      </c>
      <c r="D75" s="354">
        <f t="shared" si="2"/>
        <v>0</v>
      </c>
      <c r="E75" s="354">
        <f t="shared" si="3"/>
        <v>3594.3250000000003</v>
      </c>
      <c r="F75" s="354">
        <f t="shared" si="4"/>
        <v>3594.3250000000003</v>
      </c>
      <c r="M75" s="86">
        <f t="shared" si="14"/>
        <v>62</v>
      </c>
      <c r="N75" s="105">
        <f>SUMIF('1 Reclamation and O&amp;M costs'!$N$28:$N$37,M75,'1 Reclamation and O&amp;M costs'!$P$28:$P$37)*($S$7+1)</f>
        <v>0</v>
      </c>
      <c r="O75" s="106">
        <f>SUMIF('1 Reclamation and O&amp;M costs'!$M$28:$M$37,"&gt;="&amp;M75,'1 Reclamation and O&amp;M costs'!$R$28:$R$37)*($S$8+1)</f>
        <v>0</v>
      </c>
      <c r="P75" s="86"/>
      <c r="Q75" s="86">
        <f t="shared" si="11"/>
        <v>62</v>
      </c>
      <c r="R75" s="105">
        <f>SUMIF('1 Reclamation and O&amp;M costs'!$J$45:$J$60,'3 WM cash flow'!Q75,'1 Reclamation and O&amp;M costs'!$P$70:$P$85)*(1+$S$8)</f>
        <v>0</v>
      </c>
      <c r="S75" s="106">
        <f>SUMIF('1 Reclamation and O&amp;M costs'!$I$45:$I$60,'3 WM cash flow'!Q75,'1 Reclamation and O&amp;M costs'!$S$70:$S$85)*(1+$S$7)</f>
        <v>0</v>
      </c>
      <c r="T75" s="105">
        <f>(IF('3 WM cash flow'!Q75&lt;=('1 Reclamation and O&amp;M costs'!$O$23-'1 Reclamation and O&amp;M costs'!$O$22),0,SUMIF('1 Reclamation and O&amp;M costs'!$I$45:$I$60,"&gt;="&amp;'3 WM cash flow'!Q75,'1 Reclamation and O&amp;M costs'!$N$70:$N$85))+IF('3 WM cash flow'!Q75&lt;=('1 Reclamation and O&amp;M costs'!$O$23-'1 Reclamation and O&amp;M costs'!$O$22),'1 Reclamation and O&amp;M costs'!$I$89,0))*(1+$S$8)</f>
        <v>0</v>
      </c>
      <c r="U75" s="106">
        <f>SUMIF('1 Reclamation and O&amp;M costs'!$I$45:$I$60,"&gt;="&amp;Q75,'1 Reclamation and O&amp;M costs'!$Q$70:$Q$85)*(1+$S$8)</f>
        <v>0</v>
      </c>
      <c r="V75" s="86"/>
      <c r="W75" s="86">
        <f t="shared" si="12"/>
        <v>62</v>
      </c>
      <c r="X75" s="105">
        <f>SUMIF('1 Reclamation and O&amp;M costs'!$L$95:$L$112,'3 WM cash flow'!W75,'1 Reclamation and O&amp;M costs'!P$112:$P155)*(1+$S$7)</f>
        <v>0</v>
      </c>
      <c r="Y75" s="106">
        <f>SUMIF('1 Reclamation and O&amp;M costs'!$K$95:$K$112,'3 WM cash flow'!W75,'1 Reclamation and O&amp;M costs'!$T$95:$T$112)*(1+$S$7)</f>
        <v>0</v>
      </c>
      <c r="Z75" s="105">
        <f>SUMIF('1 Reclamation and O&amp;M costs'!$K$95:$K$112,"&gt;="&amp;M75,'1 Reclamation and O&amp;M costs'!$R$95:$R$112)*(1+$S$8)</f>
        <v>0</v>
      </c>
      <c r="AA75" s="106"/>
      <c r="AB75" s="86">
        <f t="shared" si="8"/>
        <v>62</v>
      </c>
      <c r="AC75" s="105">
        <f>SUMIF('1 Reclamation and O&amp;M costs'!$H$122:$H$132,'3 WM cash flow'!AB75,'1 Reclamation and O&amp;M costs'!$Q$122:$Q$132)*(1+$S$7)</f>
        <v>0</v>
      </c>
      <c r="AD75" s="106">
        <f>SUMIF('1 Reclamation and O&amp;M costs'!$H$122:$H$132,"&gt;="&amp;AB75,'1 Reclamation and O&amp;M costs'!$O$122:$O$132)*(1+$S$8)</f>
        <v>0</v>
      </c>
      <c r="AE75" s="108"/>
      <c r="AF75" s="86">
        <f t="shared" si="9"/>
        <v>62</v>
      </c>
      <c r="AG75" s="105">
        <f>(IF(AF75&lt;('1 Reclamation and O&amp;M costs'!$O$23-'1 Reclamation and O&amp;M costs'!$O$22),'2 Sampling Cost'!$O$13,IF(AF75&lt;'1 Reclamation and O&amp;M costs'!$O$24,'2 Sampling Cost'!$O$14,'2 Sampling Cost'!$O$15)))*(1+$S$8)</f>
        <v>3594.3250000000003</v>
      </c>
      <c r="AH75" s="106"/>
      <c r="AI75" s="105">
        <f t="shared" si="10"/>
        <v>3594.3250000000003</v>
      </c>
      <c r="AJ75" s="106"/>
    </row>
    <row r="76" spans="2:36" x14ac:dyDescent="0.25">
      <c r="B76" s="365">
        <f t="shared" si="13"/>
        <v>64</v>
      </c>
      <c r="C76" s="354">
        <f t="shared" si="1"/>
        <v>0</v>
      </c>
      <c r="D76" s="354">
        <f t="shared" si="2"/>
        <v>0</v>
      </c>
      <c r="E76" s="354">
        <f t="shared" si="3"/>
        <v>3594.3250000000003</v>
      </c>
      <c r="F76" s="354">
        <f t="shared" si="4"/>
        <v>3594.3250000000003</v>
      </c>
      <c r="M76" s="86">
        <f t="shared" si="14"/>
        <v>63</v>
      </c>
      <c r="N76" s="105">
        <f>SUMIF('1 Reclamation and O&amp;M costs'!$N$28:$N$37,M76,'1 Reclamation and O&amp;M costs'!$P$28:$P$37)*($S$7+1)</f>
        <v>0</v>
      </c>
      <c r="O76" s="106">
        <f>SUMIF('1 Reclamation and O&amp;M costs'!$M$28:$M$37,"&gt;="&amp;M76,'1 Reclamation and O&amp;M costs'!$R$28:$R$37)*($S$8+1)</f>
        <v>0</v>
      </c>
      <c r="P76" s="86"/>
      <c r="Q76" s="86">
        <f t="shared" si="11"/>
        <v>63</v>
      </c>
      <c r="R76" s="105">
        <f>SUMIF('1 Reclamation and O&amp;M costs'!$J$45:$J$60,'3 WM cash flow'!Q76,'1 Reclamation and O&amp;M costs'!$P$70:$P$85)*(1+$S$8)</f>
        <v>0</v>
      </c>
      <c r="S76" s="106">
        <f>SUMIF('1 Reclamation and O&amp;M costs'!$I$45:$I$60,'3 WM cash flow'!Q76,'1 Reclamation and O&amp;M costs'!$S$70:$S$85)*(1+$S$7)</f>
        <v>0</v>
      </c>
      <c r="T76" s="105">
        <f>(IF('3 WM cash flow'!Q76&lt;=('1 Reclamation and O&amp;M costs'!$O$23-'1 Reclamation and O&amp;M costs'!$O$22),0,SUMIF('1 Reclamation and O&amp;M costs'!$I$45:$I$60,"&gt;="&amp;'3 WM cash flow'!Q76,'1 Reclamation and O&amp;M costs'!$N$70:$N$85))+IF('3 WM cash flow'!Q76&lt;=('1 Reclamation and O&amp;M costs'!$O$23-'1 Reclamation and O&amp;M costs'!$O$22),'1 Reclamation and O&amp;M costs'!$I$89,0))*(1+$S$8)</f>
        <v>0</v>
      </c>
      <c r="U76" s="106">
        <f>SUMIF('1 Reclamation and O&amp;M costs'!$I$45:$I$60,"&gt;="&amp;Q76,'1 Reclamation and O&amp;M costs'!$Q$70:$Q$85)*(1+$S$8)</f>
        <v>0</v>
      </c>
      <c r="V76" s="86"/>
      <c r="W76" s="86">
        <f t="shared" si="12"/>
        <v>63</v>
      </c>
      <c r="X76" s="105">
        <f>SUMIF('1 Reclamation and O&amp;M costs'!$L$95:$L$112,'3 WM cash flow'!W76,'1 Reclamation and O&amp;M costs'!P$112:$P156)*(1+$S$7)</f>
        <v>0</v>
      </c>
      <c r="Y76" s="106">
        <f>SUMIF('1 Reclamation and O&amp;M costs'!$K$95:$K$112,'3 WM cash flow'!W76,'1 Reclamation and O&amp;M costs'!$T$95:$T$112)*(1+$S$7)</f>
        <v>0</v>
      </c>
      <c r="Z76" s="105">
        <f>SUMIF('1 Reclamation and O&amp;M costs'!$K$95:$K$112,"&gt;="&amp;M76,'1 Reclamation and O&amp;M costs'!$R$95:$R$112)*(1+$S$8)</f>
        <v>0</v>
      </c>
      <c r="AA76" s="106"/>
      <c r="AB76" s="86">
        <f t="shared" si="8"/>
        <v>63</v>
      </c>
      <c r="AC76" s="105">
        <f>SUMIF('1 Reclamation and O&amp;M costs'!$H$122:$H$132,'3 WM cash flow'!AB76,'1 Reclamation and O&amp;M costs'!$Q$122:$Q$132)*(1+$S$7)</f>
        <v>0</v>
      </c>
      <c r="AD76" s="106">
        <f>SUMIF('1 Reclamation and O&amp;M costs'!$H$122:$H$132,"&gt;="&amp;AB76,'1 Reclamation and O&amp;M costs'!$O$122:$O$132)*(1+$S$8)</f>
        <v>0</v>
      </c>
      <c r="AE76" s="108"/>
      <c r="AF76" s="86">
        <f t="shared" si="9"/>
        <v>63</v>
      </c>
      <c r="AG76" s="105">
        <f>(IF(AF76&lt;('1 Reclamation and O&amp;M costs'!$O$23-'1 Reclamation and O&amp;M costs'!$O$22),'2 Sampling Cost'!$O$13,IF(AF76&lt;'1 Reclamation and O&amp;M costs'!$O$24,'2 Sampling Cost'!$O$14,'2 Sampling Cost'!$O$15)))*(1+$S$8)</f>
        <v>3594.3250000000003</v>
      </c>
      <c r="AH76" s="106"/>
      <c r="AI76" s="105">
        <f t="shared" si="10"/>
        <v>3594.3250000000003</v>
      </c>
      <c r="AJ76" s="106"/>
    </row>
    <row r="77" spans="2:36" x14ac:dyDescent="0.25">
      <c r="B77" s="365">
        <f t="shared" si="13"/>
        <v>65</v>
      </c>
      <c r="C77" s="354">
        <f t="shared" si="1"/>
        <v>0</v>
      </c>
      <c r="D77" s="354">
        <f t="shared" si="2"/>
        <v>0</v>
      </c>
      <c r="E77" s="354">
        <f t="shared" si="3"/>
        <v>3594.3250000000003</v>
      </c>
      <c r="F77" s="354">
        <f t="shared" si="4"/>
        <v>3594.3250000000003</v>
      </c>
      <c r="M77" s="86">
        <f t="shared" si="14"/>
        <v>64</v>
      </c>
      <c r="N77" s="105">
        <f>SUMIF('1 Reclamation and O&amp;M costs'!$N$28:$N$37,M77,'1 Reclamation and O&amp;M costs'!$P$28:$P$37)*($S$7+1)</f>
        <v>0</v>
      </c>
      <c r="O77" s="106">
        <f>SUMIF('1 Reclamation and O&amp;M costs'!$M$28:$M$37,"&gt;="&amp;M77,'1 Reclamation and O&amp;M costs'!$R$28:$R$37)*($S$8+1)</f>
        <v>0</v>
      </c>
      <c r="P77" s="86"/>
      <c r="Q77" s="86">
        <f t="shared" si="11"/>
        <v>64</v>
      </c>
      <c r="R77" s="105">
        <f>SUMIF('1 Reclamation and O&amp;M costs'!$J$45:$J$60,'3 WM cash flow'!Q77,'1 Reclamation and O&amp;M costs'!$P$70:$P$85)*(1+$S$8)</f>
        <v>0</v>
      </c>
      <c r="S77" s="106">
        <f>SUMIF('1 Reclamation and O&amp;M costs'!$I$45:$I$60,'3 WM cash flow'!Q77,'1 Reclamation and O&amp;M costs'!$S$70:$S$85)*(1+$S$7)</f>
        <v>0</v>
      </c>
      <c r="T77" s="105">
        <f>(IF('3 WM cash flow'!Q77&lt;=('1 Reclamation and O&amp;M costs'!$O$23-'1 Reclamation and O&amp;M costs'!$O$22),0,SUMIF('1 Reclamation and O&amp;M costs'!$I$45:$I$60,"&gt;="&amp;'3 WM cash flow'!Q77,'1 Reclamation and O&amp;M costs'!$N$70:$N$85))+IF('3 WM cash flow'!Q77&lt;=('1 Reclamation and O&amp;M costs'!$O$23-'1 Reclamation and O&amp;M costs'!$O$22),'1 Reclamation and O&amp;M costs'!$I$89,0))*(1+$S$8)</f>
        <v>0</v>
      </c>
      <c r="U77" s="106">
        <f>SUMIF('1 Reclamation and O&amp;M costs'!$I$45:$I$60,"&gt;="&amp;Q77,'1 Reclamation and O&amp;M costs'!$Q$70:$Q$85)*(1+$S$8)</f>
        <v>0</v>
      </c>
      <c r="V77" s="86"/>
      <c r="W77" s="86">
        <f t="shared" si="12"/>
        <v>64</v>
      </c>
      <c r="X77" s="105">
        <f>SUMIF('1 Reclamation and O&amp;M costs'!$L$95:$L$112,'3 WM cash flow'!W77,'1 Reclamation and O&amp;M costs'!P$112:$P157)*(1+$S$7)</f>
        <v>0</v>
      </c>
      <c r="Y77" s="106">
        <f>SUMIF('1 Reclamation and O&amp;M costs'!$K$95:$K$112,'3 WM cash flow'!W77,'1 Reclamation and O&amp;M costs'!$T$95:$T$112)*(1+$S$7)</f>
        <v>0</v>
      </c>
      <c r="Z77" s="105">
        <f>SUMIF('1 Reclamation and O&amp;M costs'!$K$95:$K$112,"&gt;="&amp;M77,'1 Reclamation and O&amp;M costs'!$R$95:$R$112)*(1+$S$8)</f>
        <v>0</v>
      </c>
      <c r="AA77" s="106"/>
      <c r="AB77" s="86">
        <f t="shared" si="8"/>
        <v>64</v>
      </c>
      <c r="AC77" s="105">
        <f>SUMIF('1 Reclamation and O&amp;M costs'!$H$122:$H$132,'3 WM cash flow'!AB77,'1 Reclamation and O&amp;M costs'!$Q$122:$Q$132)*(1+$S$7)</f>
        <v>0</v>
      </c>
      <c r="AD77" s="106">
        <f>SUMIF('1 Reclamation and O&amp;M costs'!$H$122:$H$132,"&gt;="&amp;AB77,'1 Reclamation and O&amp;M costs'!$O$122:$O$132)*(1+$S$8)</f>
        <v>0</v>
      </c>
      <c r="AE77" s="108"/>
      <c r="AF77" s="86">
        <f t="shared" si="9"/>
        <v>64</v>
      </c>
      <c r="AG77" s="105">
        <f>(IF(AF77&lt;('1 Reclamation and O&amp;M costs'!$O$23-'1 Reclamation and O&amp;M costs'!$O$22),'2 Sampling Cost'!$O$13,IF(AF77&lt;'1 Reclamation and O&amp;M costs'!$O$24,'2 Sampling Cost'!$O$14,'2 Sampling Cost'!$O$15)))*(1+$S$8)</f>
        <v>3594.3250000000003</v>
      </c>
      <c r="AH77" s="106"/>
      <c r="AI77" s="105">
        <f t="shared" si="10"/>
        <v>3594.3250000000003</v>
      </c>
      <c r="AJ77" s="106"/>
    </row>
    <row r="78" spans="2:36" x14ac:dyDescent="0.25">
      <c r="B78" s="365">
        <f t="shared" si="13"/>
        <v>66</v>
      </c>
      <c r="C78" s="354">
        <f t="shared" ref="C78:C112" si="15">SUM(N78,R78,X78)</f>
        <v>0</v>
      </c>
      <c r="D78" s="354">
        <f t="shared" ref="D78:D112" si="16">SUM(S78,Y78,AC78)</f>
        <v>0</v>
      </c>
      <c r="E78" s="354">
        <f t="shared" ref="E78:E112" si="17">SUM(O78,T78:U78,Z78,AD78,AG78)</f>
        <v>3594.3250000000003</v>
      </c>
      <c r="F78" s="354">
        <f t="shared" ref="F78:F112" si="18">SUM(C78:E78)</f>
        <v>3594.3250000000003</v>
      </c>
      <c r="M78" s="86">
        <f t="shared" si="14"/>
        <v>65</v>
      </c>
      <c r="N78" s="105">
        <f>SUMIF('1 Reclamation and O&amp;M costs'!$N$28:$N$37,M78,'1 Reclamation and O&amp;M costs'!$P$28:$P$37)*($S$7+1)</f>
        <v>0</v>
      </c>
      <c r="O78" s="106">
        <f>SUMIF('1 Reclamation and O&amp;M costs'!$M$28:$M$37,"&gt;="&amp;M78,'1 Reclamation and O&amp;M costs'!$R$28:$R$37)*($S$8+1)</f>
        <v>0</v>
      </c>
      <c r="P78" s="86"/>
      <c r="Q78" s="86">
        <f t="shared" ref="Q78:Q109" si="19">1+Q77</f>
        <v>65</v>
      </c>
      <c r="R78" s="105">
        <f>SUMIF('1 Reclamation and O&amp;M costs'!$J$45:$J$60,'3 WM cash flow'!Q78,'1 Reclamation and O&amp;M costs'!$P$70:$P$85)*(1+$S$8)</f>
        <v>0</v>
      </c>
      <c r="S78" s="106">
        <f>SUMIF('1 Reclamation and O&amp;M costs'!$I$45:$I$60,'3 WM cash flow'!Q78,'1 Reclamation and O&amp;M costs'!$S$70:$S$85)*(1+$S$7)</f>
        <v>0</v>
      </c>
      <c r="T78" s="105">
        <f>(IF('3 WM cash flow'!Q78&lt;=('1 Reclamation and O&amp;M costs'!$O$23-'1 Reclamation and O&amp;M costs'!$O$22),0,SUMIF('1 Reclamation and O&amp;M costs'!$I$45:$I$60,"&gt;="&amp;'3 WM cash flow'!Q78,'1 Reclamation and O&amp;M costs'!$N$70:$N$85))+IF('3 WM cash flow'!Q78&lt;=('1 Reclamation and O&amp;M costs'!$O$23-'1 Reclamation and O&amp;M costs'!$O$22),'1 Reclamation and O&amp;M costs'!$I$89,0))*(1+$S$8)</f>
        <v>0</v>
      </c>
      <c r="U78" s="106">
        <f>SUMIF('1 Reclamation and O&amp;M costs'!$I$45:$I$60,"&gt;="&amp;Q78,'1 Reclamation and O&amp;M costs'!$Q$70:$Q$85)*(1+$S$8)</f>
        <v>0</v>
      </c>
      <c r="V78" s="86"/>
      <c r="W78" s="86">
        <f t="shared" ref="W78:W109" si="20">W77+1</f>
        <v>65</v>
      </c>
      <c r="X78" s="105">
        <f>SUMIF('1 Reclamation and O&amp;M costs'!$L$95:$L$112,'3 WM cash flow'!W78,'1 Reclamation and O&amp;M costs'!P$112:$P158)*(1+$S$7)</f>
        <v>0</v>
      </c>
      <c r="Y78" s="106">
        <f>SUMIF('1 Reclamation and O&amp;M costs'!$K$95:$K$112,'3 WM cash flow'!W78,'1 Reclamation and O&amp;M costs'!$T$95:$T$112)*(1+$S$7)</f>
        <v>0</v>
      </c>
      <c r="Z78" s="105">
        <f>SUMIF('1 Reclamation and O&amp;M costs'!$K$95:$K$112,"&gt;="&amp;M78,'1 Reclamation and O&amp;M costs'!$R$95:$R$112)*(1+$S$8)</f>
        <v>0</v>
      </c>
      <c r="AA78" s="106"/>
      <c r="AB78" s="86">
        <f t="shared" ref="AB78:AB112" si="21">AB77+1</f>
        <v>65</v>
      </c>
      <c r="AC78" s="105">
        <f>SUMIF('1 Reclamation and O&amp;M costs'!$H$122:$H$132,'3 WM cash flow'!AB78,'1 Reclamation and O&amp;M costs'!$Q$122:$Q$132)*(1+$S$7)</f>
        <v>0</v>
      </c>
      <c r="AD78" s="106">
        <f>SUMIF('1 Reclamation and O&amp;M costs'!$H$122:$H$132,"&gt;="&amp;AB78,'1 Reclamation and O&amp;M costs'!$O$122:$O$132)*(1+$S$8)</f>
        <v>0</v>
      </c>
      <c r="AE78" s="108"/>
      <c r="AF78" s="86">
        <f t="shared" ref="AF78:AF112" si="22">AF77+1</f>
        <v>65</v>
      </c>
      <c r="AG78" s="105">
        <f>(IF(AF78&lt;('1 Reclamation and O&amp;M costs'!$O$23-'1 Reclamation and O&amp;M costs'!$O$22),'2 Sampling Cost'!$O$13,IF(AF78&lt;'1 Reclamation and O&amp;M costs'!$O$24,'2 Sampling Cost'!$O$14,'2 Sampling Cost'!$O$15)))*(1+$S$8)</f>
        <v>3594.3250000000003</v>
      </c>
      <c r="AH78" s="106"/>
      <c r="AI78" s="105">
        <f t="shared" ref="AI78:AI112" si="23">SUM(AG78,AC78:AD78,X78:Z78,R78:U78,N78:O78)</f>
        <v>3594.3250000000003</v>
      </c>
      <c r="AJ78" s="106"/>
    </row>
    <row r="79" spans="2:36" x14ac:dyDescent="0.25">
      <c r="B79" s="365">
        <f t="shared" si="13"/>
        <v>67</v>
      </c>
      <c r="C79" s="354">
        <f t="shared" si="15"/>
        <v>0</v>
      </c>
      <c r="D79" s="354">
        <f t="shared" si="16"/>
        <v>0</v>
      </c>
      <c r="E79" s="354">
        <f t="shared" si="17"/>
        <v>3594.3250000000003</v>
      </c>
      <c r="F79" s="354">
        <f t="shared" si="18"/>
        <v>3594.3250000000003</v>
      </c>
      <c r="M79" s="86">
        <f t="shared" si="14"/>
        <v>66</v>
      </c>
      <c r="N79" s="105">
        <f>SUMIF('1 Reclamation and O&amp;M costs'!$N$28:$N$37,M79,'1 Reclamation and O&amp;M costs'!$P$28:$P$37)*($S$7+1)</f>
        <v>0</v>
      </c>
      <c r="O79" s="106">
        <f>SUMIF('1 Reclamation and O&amp;M costs'!$M$28:$M$37,"&gt;="&amp;M79,'1 Reclamation and O&amp;M costs'!$R$28:$R$37)*($S$8+1)</f>
        <v>0</v>
      </c>
      <c r="P79" s="86"/>
      <c r="Q79" s="86">
        <f t="shared" si="19"/>
        <v>66</v>
      </c>
      <c r="R79" s="105">
        <f>SUMIF('1 Reclamation and O&amp;M costs'!$J$45:$J$60,'3 WM cash flow'!Q79,'1 Reclamation and O&amp;M costs'!$P$70:$P$85)*(1+$S$8)</f>
        <v>0</v>
      </c>
      <c r="S79" s="106">
        <f>SUMIF('1 Reclamation and O&amp;M costs'!$I$45:$I$60,'3 WM cash flow'!Q79,'1 Reclamation and O&amp;M costs'!$S$70:$S$85)*(1+$S$7)</f>
        <v>0</v>
      </c>
      <c r="T79" s="105">
        <f>(IF('3 WM cash flow'!Q79&lt;=('1 Reclamation and O&amp;M costs'!$O$23-'1 Reclamation and O&amp;M costs'!$O$22),0,SUMIF('1 Reclamation and O&amp;M costs'!$I$45:$I$60,"&gt;="&amp;'3 WM cash flow'!Q79,'1 Reclamation and O&amp;M costs'!$N$70:$N$85))+IF('3 WM cash flow'!Q79&lt;=('1 Reclamation and O&amp;M costs'!$O$23-'1 Reclamation and O&amp;M costs'!$O$22),'1 Reclamation and O&amp;M costs'!$I$89,0))*(1+$S$8)</f>
        <v>0</v>
      </c>
      <c r="U79" s="106">
        <f>SUMIF('1 Reclamation and O&amp;M costs'!$I$45:$I$60,"&gt;="&amp;Q79,'1 Reclamation and O&amp;M costs'!$Q$70:$Q$85)*(1+$S$8)</f>
        <v>0</v>
      </c>
      <c r="V79" s="86"/>
      <c r="W79" s="86">
        <f t="shared" si="20"/>
        <v>66</v>
      </c>
      <c r="X79" s="105">
        <f>SUMIF('1 Reclamation and O&amp;M costs'!$L$95:$L$112,'3 WM cash flow'!W79,'1 Reclamation and O&amp;M costs'!P$112:$P159)*(1+$S$7)</f>
        <v>0</v>
      </c>
      <c r="Y79" s="106">
        <f>SUMIF('1 Reclamation and O&amp;M costs'!$K$95:$K$112,'3 WM cash flow'!W79,'1 Reclamation and O&amp;M costs'!$T$95:$T$112)*(1+$S$7)</f>
        <v>0</v>
      </c>
      <c r="Z79" s="105">
        <f>SUMIF('1 Reclamation and O&amp;M costs'!$K$95:$K$112,"&gt;="&amp;M79,'1 Reclamation and O&amp;M costs'!$R$95:$R$112)*(1+$S$8)</f>
        <v>0</v>
      </c>
      <c r="AA79" s="106"/>
      <c r="AB79" s="86">
        <f t="shared" si="21"/>
        <v>66</v>
      </c>
      <c r="AC79" s="105">
        <f>SUMIF('1 Reclamation and O&amp;M costs'!$H$122:$H$132,'3 WM cash flow'!AB79,'1 Reclamation and O&amp;M costs'!$Q$122:$Q$132)*(1+$S$7)</f>
        <v>0</v>
      </c>
      <c r="AD79" s="106">
        <f>SUMIF('1 Reclamation and O&amp;M costs'!$H$122:$H$132,"&gt;="&amp;AB79,'1 Reclamation and O&amp;M costs'!$O$122:$O$132)*(1+$S$8)</f>
        <v>0</v>
      </c>
      <c r="AE79" s="108"/>
      <c r="AF79" s="86">
        <f t="shared" si="22"/>
        <v>66</v>
      </c>
      <c r="AG79" s="105">
        <f>(IF(AF79&lt;('1 Reclamation and O&amp;M costs'!$O$23-'1 Reclamation and O&amp;M costs'!$O$22),'2 Sampling Cost'!$O$13,IF(AF79&lt;'1 Reclamation and O&amp;M costs'!$O$24,'2 Sampling Cost'!$O$14,'2 Sampling Cost'!$O$15)))*(1+$S$8)</f>
        <v>3594.3250000000003</v>
      </c>
      <c r="AH79" s="106"/>
      <c r="AI79" s="105">
        <f t="shared" si="23"/>
        <v>3594.3250000000003</v>
      </c>
      <c r="AJ79" s="106"/>
    </row>
    <row r="80" spans="2:36" x14ac:dyDescent="0.25">
      <c r="B80" s="365">
        <f t="shared" si="13"/>
        <v>68</v>
      </c>
      <c r="C80" s="354">
        <f t="shared" si="15"/>
        <v>0</v>
      </c>
      <c r="D80" s="354">
        <f t="shared" si="16"/>
        <v>0</v>
      </c>
      <c r="E80" s="354">
        <f t="shared" si="17"/>
        <v>3594.3250000000003</v>
      </c>
      <c r="F80" s="354">
        <f t="shared" si="18"/>
        <v>3594.3250000000003</v>
      </c>
      <c r="M80" s="86">
        <f t="shared" si="14"/>
        <v>67</v>
      </c>
      <c r="N80" s="105">
        <f>SUMIF('1 Reclamation and O&amp;M costs'!$N$28:$N$37,M80,'1 Reclamation and O&amp;M costs'!$P$28:$P$37)*($S$7+1)</f>
        <v>0</v>
      </c>
      <c r="O80" s="106">
        <f>SUMIF('1 Reclamation and O&amp;M costs'!$M$28:$M$37,"&gt;="&amp;M80,'1 Reclamation and O&amp;M costs'!$R$28:$R$37)*($S$8+1)</f>
        <v>0</v>
      </c>
      <c r="P80" s="86"/>
      <c r="Q80" s="86">
        <f t="shared" si="19"/>
        <v>67</v>
      </c>
      <c r="R80" s="105">
        <f>SUMIF('1 Reclamation and O&amp;M costs'!$J$45:$J$60,'3 WM cash flow'!Q80,'1 Reclamation and O&amp;M costs'!$P$70:$P$85)*(1+$S$8)</f>
        <v>0</v>
      </c>
      <c r="S80" s="106">
        <f>SUMIF('1 Reclamation and O&amp;M costs'!$I$45:$I$60,'3 WM cash flow'!Q80,'1 Reclamation and O&amp;M costs'!$S$70:$S$85)*(1+$S$7)</f>
        <v>0</v>
      </c>
      <c r="T80" s="105">
        <f>(IF('3 WM cash flow'!Q80&lt;=('1 Reclamation and O&amp;M costs'!$O$23-'1 Reclamation and O&amp;M costs'!$O$22),0,SUMIF('1 Reclamation and O&amp;M costs'!$I$45:$I$60,"&gt;="&amp;'3 WM cash flow'!Q80,'1 Reclamation and O&amp;M costs'!$N$70:$N$85))+IF('3 WM cash flow'!Q80&lt;=('1 Reclamation and O&amp;M costs'!$O$23-'1 Reclamation and O&amp;M costs'!$O$22),'1 Reclamation and O&amp;M costs'!$I$89,0))*(1+$S$8)</f>
        <v>0</v>
      </c>
      <c r="U80" s="106">
        <f>SUMIF('1 Reclamation and O&amp;M costs'!$I$45:$I$60,"&gt;="&amp;Q80,'1 Reclamation and O&amp;M costs'!$Q$70:$Q$85)*(1+$S$8)</f>
        <v>0</v>
      </c>
      <c r="V80" s="86"/>
      <c r="W80" s="86">
        <f t="shared" si="20"/>
        <v>67</v>
      </c>
      <c r="X80" s="105">
        <f>SUMIF('1 Reclamation and O&amp;M costs'!$L$95:$L$112,'3 WM cash flow'!W80,'1 Reclamation and O&amp;M costs'!P$112:$P160)*(1+$S$7)</f>
        <v>0</v>
      </c>
      <c r="Y80" s="106">
        <f>SUMIF('1 Reclamation and O&amp;M costs'!$K$95:$K$112,'3 WM cash flow'!W80,'1 Reclamation and O&amp;M costs'!$T$95:$T$112)*(1+$S$7)</f>
        <v>0</v>
      </c>
      <c r="Z80" s="105">
        <f>SUMIF('1 Reclamation and O&amp;M costs'!$K$95:$K$112,"&gt;="&amp;M80,'1 Reclamation and O&amp;M costs'!$R$95:$R$112)*(1+$S$8)</f>
        <v>0</v>
      </c>
      <c r="AA80" s="106"/>
      <c r="AB80" s="86">
        <f t="shared" si="21"/>
        <v>67</v>
      </c>
      <c r="AC80" s="105">
        <f>SUMIF('1 Reclamation and O&amp;M costs'!$H$122:$H$132,'3 WM cash flow'!AB80,'1 Reclamation and O&amp;M costs'!$Q$122:$Q$132)*(1+$S$7)</f>
        <v>0</v>
      </c>
      <c r="AD80" s="106">
        <f>SUMIF('1 Reclamation and O&amp;M costs'!$H$122:$H$132,"&gt;="&amp;AB80,'1 Reclamation and O&amp;M costs'!$O$122:$O$132)*(1+$S$8)</f>
        <v>0</v>
      </c>
      <c r="AE80" s="108"/>
      <c r="AF80" s="86">
        <f t="shared" si="22"/>
        <v>67</v>
      </c>
      <c r="AG80" s="105">
        <f>(IF(AF80&lt;('1 Reclamation and O&amp;M costs'!$O$23-'1 Reclamation and O&amp;M costs'!$O$22),'2 Sampling Cost'!$O$13,IF(AF80&lt;'1 Reclamation and O&amp;M costs'!$O$24,'2 Sampling Cost'!$O$14,'2 Sampling Cost'!$O$15)))*(1+$S$8)</f>
        <v>3594.3250000000003</v>
      </c>
      <c r="AH80" s="106"/>
      <c r="AI80" s="105">
        <f t="shared" si="23"/>
        <v>3594.3250000000003</v>
      </c>
      <c r="AJ80" s="106"/>
    </row>
    <row r="81" spans="2:36" x14ac:dyDescent="0.25">
      <c r="B81" s="365">
        <f t="shared" si="13"/>
        <v>69</v>
      </c>
      <c r="C81" s="354">
        <f t="shared" si="15"/>
        <v>0</v>
      </c>
      <c r="D81" s="354">
        <f t="shared" si="16"/>
        <v>0</v>
      </c>
      <c r="E81" s="354">
        <f t="shared" si="17"/>
        <v>3594.3250000000003</v>
      </c>
      <c r="F81" s="354">
        <f t="shared" si="18"/>
        <v>3594.3250000000003</v>
      </c>
      <c r="M81" s="86">
        <f t="shared" si="14"/>
        <v>68</v>
      </c>
      <c r="N81" s="105">
        <f>SUMIF('1 Reclamation and O&amp;M costs'!$N$28:$N$37,M81,'1 Reclamation and O&amp;M costs'!$P$28:$P$37)*($S$7+1)</f>
        <v>0</v>
      </c>
      <c r="O81" s="106">
        <f>SUMIF('1 Reclamation and O&amp;M costs'!$M$28:$M$37,"&gt;="&amp;M81,'1 Reclamation and O&amp;M costs'!$R$28:$R$37)*($S$8+1)</f>
        <v>0</v>
      </c>
      <c r="P81" s="86"/>
      <c r="Q81" s="86">
        <f t="shared" si="19"/>
        <v>68</v>
      </c>
      <c r="R81" s="105">
        <f>SUMIF('1 Reclamation and O&amp;M costs'!$J$45:$J$60,'3 WM cash flow'!Q81,'1 Reclamation and O&amp;M costs'!$P$70:$P$85)*(1+$S$8)</f>
        <v>0</v>
      </c>
      <c r="S81" s="106">
        <f>SUMIF('1 Reclamation and O&amp;M costs'!$I$45:$I$60,'3 WM cash flow'!Q81,'1 Reclamation and O&amp;M costs'!$S$70:$S$85)*(1+$S$7)</f>
        <v>0</v>
      </c>
      <c r="T81" s="105">
        <f>(IF('3 WM cash flow'!Q81&lt;=('1 Reclamation and O&amp;M costs'!$O$23-'1 Reclamation and O&amp;M costs'!$O$22),0,SUMIF('1 Reclamation and O&amp;M costs'!$I$45:$I$60,"&gt;="&amp;'3 WM cash flow'!Q81,'1 Reclamation and O&amp;M costs'!$N$70:$N$85))+IF('3 WM cash flow'!Q81&lt;=('1 Reclamation and O&amp;M costs'!$O$23-'1 Reclamation and O&amp;M costs'!$O$22),'1 Reclamation and O&amp;M costs'!$I$89,0))*(1+$S$8)</f>
        <v>0</v>
      </c>
      <c r="U81" s="106">
        <f>SUMIF('1 Reclamation and O&amp;M costs'!$I$45:$I$60,"&gt;="&amp;Q81,'1 Reclamation and O&amp;M costs'!$Q$70:$Q$85)*(1+$S$8)</f>
        <v>0</v>
      </c>
      <c r="V81" s="86"/>
      <c r="W81" s="86">
        <f t="shared" si="20"/>
        <v>68</v>
      </c>
      <c r="X81" s="105">
        <f>SUMIF('1 Reclamation and O&amp;M costs'!$L$95:$L$112,'3 WM cash flow'!W81,'1 Reclamation and O&amp;M costs'!P$112:$P161)*(1+$S$7)</f>
        <v>0</v>
      </c>
      <c r="Y81" s="106">
        <f>SUMIF('1 Reclamation and O&amp;M costs'!$K$95:$K$112,'3 WM cash flow'!W81,'1 Reclamation and O&amp;M costs'!$T$95:$T$112)*(1+$S$7)</f>
        <v>0</v>
      </c>
      <c r="Z81" s="105">
        <f>SUMIF('1 Reclamation and O&amp;M costs'!$K$95:$K$112,"&gt;="&amp;M81,'1 Reclamation and O&amp;M costs'!$R$95:$R$112)*(1+$S$8)</f>
        <v>0</v>
      </c>
      <c r="AA81" s="106"/>
      <c r="AB81" s="86">
        <f t="shared" si="21"/>
        <v>68</v>
      </c>
      <c r="AC81" s="105">
        <f>SUMIF('1 Reclamation and O&amp;M costs'!$H$122:$H$132,'3 WM cash flow'!AB81,'1 Reclamation and O&amp;M costs'!$Q$122:$Q$132)*(1+$S$7)</f>
        <v>0</v>
      </c>
      <c r="AD81" s="106">
        <f>SUMIF('1 Reclamation and O&amp;M costs'!$H$122:$H$132,"&gt;="&amp;AB81,'1 Reclamation and O&amp;M costs'!$O$122:$O$132)*(1+$S$8)</f>
        <v>0</v>
      </c>
      <c r="AE81" s="108"/>
      <c r="AF81" s="86">
        <f t="shared" si="22"/>
        <v>68</v>
      </c>
      <c r="AG81" s="105">
        <f>(IF(AF81&lt;('1 Reclamation and O&amp;M costs'!$O$23-'1 Reclamation and O&amp;M costs'!$O$22),'2 Sampling Cost'!$O$13,IF(AF81&lt;'1 Reclamation and O&amp;M costs'!$O$24,'2 Sampling Cost'!$O$14,'2 Sampling Cost'!$O$15)))*(1+$S$8)</f>
        <v>3594.3250000000003</v>
      </c>
      <c r="AH81" s="106"/>
      <c r="AI81" s="105">
        <f t="shared" si="23"/>
        <v>3594.3250000000003</v>
      </c>
      <c r="AJ81" s="106"/>
    </row>
    <row r="82" spans="2:36" x14ac:dyDescent="0.25">
      <c r="B82" s="365">
        <f t="shared" si="13"/>
        <v>70</v>
      </c>
      <c r="C82" s="354">
        <f t="shared" si="15"/>
        <v>0</v>
      </c>
      <c r="D82" s="354">
        <f t="shared" si="16"/>
        <v>0</v>
      </c>
      <c r="E82" s="354">
        <f t="shared" si="17"/>
        <v>3594.3250000000003</v>
      </c>
      <c r="F82" s="354">
        <f t="shared" si="18"/>
        <v>3594.3250000000003</v>
      </c>
      <c r="M82" s="86">
        <f t="shared" si="14"/>
        <v>69</v>
      </c>
      <c r="N82" s="105">
        <f>SUMIF('1 Reclamation and O&amp;M costs'!$N$28:$N$37,M82,'1 Reclamation and O&amp;M costs'!$P$28:$P$37)*($S$7+1)</f>
        <v>0</v>
      </c>
      <c r="O82" s="106">
        <f>SUMIF('1 Reclamation and O&amp;M costs'!$M$28:$M$37,"&gt;="&amp;M82,'1 Reclamation and O&amp;M costs'!$R$28:$R$37)*($S$8+1)</f>
        <v>0</v>
      </c>
      <c r="P82" s="86"/>
      <c r="Q82" s="86">
        <f t="shared" si="19"/>
        <v>69</v>
      </c>
      <c r="R82" s="105">
        <f>SUMIF('1 Reclamation and O&amp;M costs'!$J$45:$J$60,'3 WM cash flow'!Q82,'1 Reclamation and O&amp;M costs'!$P$70:$P$85)*(1+$S$8)</f>
        <v>0</v>
      </c>
      <c r="S82" s="106">
        <f>SUMIF('1 Reclamation and O&amp;M costs'!$I$45:$I$60,'3 WM cash flow'!Q82,'1 Reclamation and O&amp;M costs'!$S$70:$S$85)*(1+$S$7)</f>
        <v>0</v>
      </c>
      <c r="T82" s="105">
        <f>(IF('3 WM cash flow'!Q82&lt;=('1 Reclamation and O&amp;M costs'!$O$23-'1 Reclamation and O&amp;M costs'!$O$22),0,SUMIF('1 Reclamation and O&amp;M costs'!$I$45:$I$60,"&gt;="&amp;'3 WM cash flow'!Q82,'1 Reclamation and O&amp;M costs'!$N$70:$N$85))+IF('3 WM cash flow'!Q82&lt;=('1 Reclamation and O&amp;M costs'!$O$23-'1 Reclamation and O&amp;M costs'!$O$22),'1 Reclamation and O&amp;M costs'!$I$89,0))*(1+$S$8)</f>
        <v>0</v>
      </c>
      <c r="U82" s="106">
        <f>SUMIF('1 Reclamation and O&amp;M costs'!$I$45:$I$60,"&gt;="&amp;Q82,'1 Reclamation and O&amp;M costs'!$Q$70:$Q$85)*(1+$S$8)</f>
        <v>0</v>
      </c>
      <c r="V82" s="86"/>
      <c r="W82" s="86">
        <f t="shared" si="20"/>
        <v>69</v>
      </c>
      <c r="X82" s="105">
        <f>SUMIF('1 Reclamation and O&amp;M costs'!$L$95:$L$112,'3 WM cash flow'!W82,'1 Reclamation and O&amp;M costs'!P$112:$P162)*(1+$S$7)</f>
        <v>0</v>
      </c>
      <c r="Y82" s="106">
        <f>SUMIF('1 Reclamation and O&amp;M costs'!$K$95:$K$112,'3 WM cash flow'!W82,'1 Reclamation and O&amp;M costs'!$T$95:$T$112)*(1+$S$7)</f>
        <v>0</v>
      </c>
      <c r="Z82" s="105">
        <f>SUMIF('1 Reclamation and O&amp;M costs'!$K$95:$K$112,"&gt;="&amp;M82,'1 Reclamation and O&amp;M costs'!$R$95:$R$112)*(1+$S$8)</f>
        <v>0</v>
      </c>
      <c r="AA82" s="106"/>
      <c r="AB82" s="86">
        <f t="shared" si="21"/>
        <v>69</v>
      </c>
      <c r="AC82" s="105">
        <f>SUMIF('1 Reclamation and O&amp;M costs'!$H$122:$H$132,'3 WM cash flow'!AB82,'1 Reclamation and O&amp;M costs'!$Q$122:$Q$132)*(1+$S$7)</f>
        <v>0</v>
      </c>
      <c r="AD82" s="106">
        <f>SUMIF('1 Reclamation and O&amp;M costs'!$H$122:$H$132,"&gt;="&amp;AB82,'1 Reclamation and O&amp;M costs'!$O$122:$O$132)*(1+$S$8)</f>
        <v>0</v>
      </c>
      <c r="AE82" s="108"/>
      <c r="AF82" s="86">
        <f t="shared" si="22"/>
        <v>69</v>
      </c>
      <c r="AG82" s="105">
        <f>(IF(AF82&lt;('1 Reclamation and O&amp;M costs'!$O$23-'1 Reclamation and O&amp;M costs'!$O$22),'2 Sampling Cost'!$O$13,IF(AF82&lt;'1 Reclamation and O&amp;M costs'!$O$24,'2 Sampling Cost'!$O$14,'2 Sampling Cost'!$O$15)))*(1+$S$8)</f>
        <v>3594.3250000000003</v>
      </c>
      <c r="AH82" s="106"/>
      <c r="AI82" s="105">
        <f t="shared" si="23"/>
        <v>3594.3250000000003</v>
      </c>
      <c r="AJ82" s="106"/>
    </row>
    <row r="83" spans="2:36" x14ac:dyDescent="0.25">
      <c r="B83" s="365">
        <f t="shared" si="13"/>
        <v>71</v>
      </c>
      <c r="C83" s="354">
        <f t="shared" si="15"/>
        <v>0</v>
      </c>
      <c r="D83" s="354">
        <f t="shared" si="16"/>
        <v>0</v>
      </c>
      <c r="E83" s="354">
        <f t="shared" si="17"/>
        <v>3594.3250000000003</v>
      </c>
      <c r="F83" s="354">
        <f t="shared" si="18"/>
        <v>3594.3250000000003</v>
      </c>
      <c r="M83" s="86">
        <f t="shared" si="14"/>
        <v>70</v>
      </c>
      <c r="N83" s="105">
        <f>SUMIF('1 Reclamation and O&amp;M costs'!$N$28:$N$37,M83,'1 Reclamation and O&amp;M costs'!$P$28:$P$37)*($S$7+1)</f>
        <v>0</v>
      </c>
      <c r="O83" s="106">
        <f>SUMIF('1 Reclamation and O&amp;M costs'!$M$28:$M$37,"&gt;="&amp;M83,'1 Reclamation and O&amp;M costs'!$R$28:$R$37)*($S$8+1)</f>
        <v>0</v>
      </c>
      <c r="P83" s="86"/>
      <c r="Q83" s="86">
        <f t="shared" si="19"/>
        <v>70</v>
      </c>
      <c r="R83" s="105">
        <f>SUMIF('1 Reclamation and O&amp;M costs'!$J$45:$J$60,'3 WM cash flow'!Q83,'1 Reclamation and O&amp;M costs'!$P$70:$P$85)*(1+$S$8)</f>
        <v>0</v>
      </c>
      <c r="S83" s="106">
        <f>SUMIF('1 Reclamation and O&amp;M costs'!$I$45:$I$60,'3 WM cash flow'!Q83,'1 Reclamation and O&amp;M costs'!$S$70:$S$85)*(1+$S$7)</f>
        <v>0</v>
      </c>
      <c r="T83" s="105">
        <f>(IF('3 WM cash flow'!Q83&lt;=('1 Reclamation and O&amp;M costs'!$O$23-'1 Reclamation and O&amp;M costs'!$O$22),0,SUMIF('1 Reclamation and O&amp;M costs'!$I$45:$I$60,"&gt;="&amp;'3 WM cash flow'!Q83,'1 Reclamation and O&amp;M costs'!$N$70:$N$85))+IF('3 WM cash flow'!Q83&lt;=('1 Reclamation and O&amp;M costs'!$O$23-'1 Reclamation and O&amp;M costs'!$O$22),'1 Reclamation and O&amp;M costs'!$I$89,0))*(1+$S$8)</f>
        <v>0</v>
      </c>
      <c r="U83" s="106">
        <f>SUMIF('1 Reclamation and O&amp;M costs'!$I$45:$I$60,"&gt;="&amp;Q83,'1 Reclamation and O&amp;M costs'!$Q$70:$Q$85)*(1+$S$8)</f>
        <v>0</v>
      </c>
      <c r="V83" s="86"/>
      <c r="W83" s="86">
        <f t="shared" si="20"/>
        <v>70</v>
      </c>
      <c r="X83" s="105">
        <f>SUMIF('1 Reclamation and O&amp;M costs'!$L$95:$L$112,'3 WM cash flow'!W83,'1 Reclamation and O&amp;M costs'!P$112:$P163)*(1+$S$7)</f>
        <v>0</v>
      </c>
      <c r="Y83" s="106">
        <f>SUMIF('1 Reclamation and O&amp;M costs'!$K$95:$K$112,'3 WM cash flow'!W83,'1 Reclamation and O&amp;M costs'!$T$95:$T$112)*(1+$S$7)</f>
        <v>0</v>
      </c>
      <c r="Z83" s="105">
        <f>SUMIF('1 Reclamation and O&amp;M costs'!$K$95:$K$112,"&gt;="&amp;M83,'1 Reclamation and O&amp;M costs'!$R$95:$R$112)*(1+$S$8)</f>
        <v>0</v>
      </c>
      <c r="AA83" s="106"/>
      <c r="AB83" s="86">
        <f t="shared" si="21"/>
        <v>70</v>
      </c>
      <c r="AC83" s="105">
        <f>SUMIF('1 Reclamation and O&amp;M costs'!$H$122:$H$132,'3 WM cash flow'!AB83,'1 Reclamation and O&amp;M costs'!$Q$122:$Q$132)*(1+$S$7)</f>
        <v>0</v>
      </c>
      <c r="AD83" s="106">
        <f>SUMIF('1 Reclamation and O&amp;M costs'!$H$122:$H$132,"&gt;="&amp;AB83,'1 Reclamation and O&amp;M costs'!$O$122:$O$132)*(1+$S$8)</f>
        <v>0</v>
      </c>
      <c r="AE83" s="108"/>
      <c r="AF83" s="86">
        <f t="shared" si="22"/>
        <v>70</v>
      </c>
      <c r="AG83" s="105">
        <f>(IF(AF83&lt;('1 Reclamation and O&amp;M costs'!$O$23-'1 Reclamation and O&amp;M costs'!$O$22),'2 Sampling Cost'!$O$13,IF(AF83&lt;'1 Reclamation and O&amp;M costs'!$O$24,'2 Sampling Cost'!$O$14,'2 Sampling Cost'!$O$15)))*(1+$S$8)</f>
        <v>3594.3250000000003</v>
      </c>
      <c r="AH83" s="106"/>
      <c r="AI83" s="105">
        <f t="shared" si="23"/>
        <v>3594.3250000000003</v>
      </c>
      <c r="AJ83" s="106"/>
    </row>
    <row r="84" spans="2:36" x14ac:dyDescent="0.25">
      <c r="B84" s="365">
        <f t="shared" si="13"/>
        <v>72</v>
      </c>
      <c r="C84" s="354">
        <f t="shared" si="15"/>
        <v>0</v>
      </c>
      <c r="D84" s="354">
        <f t="shared" si="16"/>
        <v>0</v>
      </c>
      <c r="E84" s="354">
        <f t="shared" si="17"/>
        <v>3594.3250000000003</v>
      </c>
      <c r="F84" s="354">
        <f t="shared" si="18"/>
        <v>3594.3250000000003</v>
      </c>
      <c r="M84" s="86">
        <f t="shared" si="14"/>
        <v>71</v>
      </c>
      <c r="N84" s="105">
        <f>SUMIF('1 Reclamation and O&amp;M costs'!$N$28:$N$37,M84,'1 Reclamation and O&amp;M costs'!$P$28:$P$37)*($S$7+1)</f>
        <v>0</v>
      </c>
      <c r="O84" s="106">
        <f>SUMIF('1 Reclamation and O&amp;M costs'!$M$28:$M$37,"&gt;="&amp;M84,'1 Reclamation and O&amp;M costs'!$R$28:$R$37)*($S$8+1)</f>
        <v>0</v>
      </c>
      <c r="P84" s="86"/>
      <c r="Q84" s="86">
        <f t="shared" si="19"/>
        <v>71</v>
      </c>
      <c r="R84" s="105">
        <f>SUMIF('1 Reclamation and O&amp;M costs'!$J$45:$J$60,'3 WM cash flow'!Q84,'1 Reclamation and O&amp;M costs'!$P$70:$P$85)*(1+$S$8)</f>
        <v>0</v>
      </c>
      <c r="S84" s="106">
        <f>SUMIF('1 Reclamation and O&amp;M costs'!$I$45:$I$60,'3 WM cash flow'!Q84,'1 Reclamation and O&amp;M costs'!$S$70:$S$85)*(1+$S$7)</f>
        <v>0</v>
      </c>
      <c r="T84" s="105">
        <f>(IF('3 WM cash flow'!Q84&lt;=('1 Reclamation and O&amp;M costs'!$O$23-'1 Reclamation and O&amp;M costs'!$O$22),0,SUMIF('1 Reclamation and O&amp;M costs'!$I$45:$I$60,"&gt;="&amp;'3 WM cash flow'!Q84,'1 Reclamation and O&amp;M costs'!$N$70:$N$85))+IF('3 WM cash flow'!Q84&lt;=('1 Reclamation and O&amp;M costs'!$O$23-'1 Reclamation and O&amp;M costs'!$O$22),'1 Reclamation and O&amp;M costs'!$I$89,0))*(1+$S$8)</f>
        <v>0</v>
      </c>
      <c r="U84" s="106">
        <f>SUMIF('1 Reclamation and O&amp;M costs'!$I$45:$I$60,"&gt;="&amp;Q84,'1 Reclamation and O&amp;M costs'!$Q$70:$Q$85)*(1+$S$8)</f>
        <v>0</v>
      </c>
      <c r="V84" s="86"/>
      <c r="W84" s="86">
        <f t="shared" si="20"/>
        <v>71</v>
      </c>
      <c r="X84" s="105">
        <f>SUMIF('1 Reclamation and O&amp;M costs'!$L$95:$L$112,'3 WM cash flow'!W84,'1 Reclamation and O&amp;M costs'!P$112:$P164)*(1+$S$7)</f>
        <v>0</v>
      </c>
      <c r="Y84" s="106">
        <f>SUMIF('1 Reclamation and O&amp;M costs'!$K$95:$K$112,'3 WM cash flow'!W84,'1 Reclamation and O&amp;M costs'!$T$95:$T$112)*(1+$S$7)</f>
        <v>0</v>
      </c>
      <c r="Z84" s="105">
        <f>SUMIF('1 Reclamation and O&amp;M costs'!$K$95:$K$112,"&gt;="&amp;M84,'1 Reclamation and O&amp;M costs'!$R$95:$R$112)*(1+$S$8)</f>
        <v>0</v>
      </c>
      <c r="AA84" s="106"/>
      <c r="AB84" s="86">
        <f t="shared" si="21"/>
        <v>71</v>
      </c>
      <c r="AC84" s="105">
        <f>SUMIF('1 Reclamation and O&amp;M costs'!$H$122:$H$132,'3 WM cash flow'!AB84,'1 Reclamation and O&amp;M costs'!$Q$122:$Q$132)*(1+$S$7)</f>
        <v>0</v>
      </c>
      <c r="AD84" s="106">
        <f>SUMIF('1 Reclamation and O&amp;M costs'!$H$122:$H$132,"&gt;="&amp;AB84,'1 Reclamation and O&amp;M costs'!$O$122:$O$132)*(1+$S$8)</f>
        <v>0</v>
      </c>
      <c r="AE84" s="108"/>
      <c r="AF84" s="86">
        <f t="shared" si="22"/>
        <v>71</v>
      </c>
      <c r="AG84" s="105">
        <f>(IF(AF84&lt;('1 Reclamation and O&amp;M costs'!$O$23-'1 Reclamation and O&amp;M costs'!$O$22),'2 Sampling Cost'!$O$13,IF(AF84&lt;'1 Reclamation and O&amp;M costs'!$O$24,'2 Sampling Cost'!$O$14,'2 Sampling Cost'!$O$15)))*(1+$S$8)</f>
        <v>3594.3250000000003</v>
      </c>
      <c r="AH84" s="106"/>
      <c r="AI84" s="105">
        <f t="shared" si="23"/>
        <v>3594.3250000000003</v>
      </c>
      <c r="AJ84" s="106"/>
    </row>
    <row r="85" spans="2:36" x14ac:dyDescent="0.25">
      <c r="B85" s="365">
        <f t="shared" si="13"/>
        <v>73</v>
      </c>
      <c r="C85" s="354">
        <f t="shared" si="15"/>
        <v>0</v>
      </c>
      <c r="D85" s="354">
        <f t="shared" si="16"/>
        <v>0</v>
      </c>
      <c r="E85" s="354">
        <f t="shared" si="17"/>
        <v>3594.3250000000003</v>
      </c>
      <c r="F85" s="354">
        <f t="shared" si="18"/>
        <v>3594.3250000000003</v>
      </c>
      <c r="M85" s="86">
        <f t="shared" si="14"/>
        <v>72</v>
      </c>
      <c r="N85" s="105">
        <f>SUMIF('1 Reclamation and O&amp;M costs'!$N$28:$N$37,M85,'1 Reclamation and O&amp;M costs'!$P$28:$P$37)*($S$7+1)</f>
        <v>0</v>
      </c>
      <c r="O85" s="106">
        <f>SUMIF('1 Reclamation and O&amp;M costs'!$M$28:$M$37,"&gt;="&amp;M85,'1 Reclamation and O&amp;M costs'!$R$28:$R$37)*($S$8+1)</f>
        <v>0</v>
      </c>
      <c r="P85" s="86"/>
      <c r="Q85" s="86">
        <f t="shared" si="19"/>
        <v>72</v>
      </c>
      <c r="R85" s="105">
        <f>SUMIF('1 Reclamation and O&amp;M costs'!$J$45:$J$60,'3 WM cash flow'!Q85,'1 Reclamation and O&amp;M costs'!$P$70:$P$85)*(1+$S$8)</f>
        <v>0</v>
      </c>
      <c r="S85" s="106">
        <f>SUMIF('1 Reclamation and O&amp;M costs'!$I$45:$I$60,'3 WM cash flow'!Q85,'1 Reclamation and O&amp;M costs'!$S$70:$S$85)*(1+$S$7)</f>
        <v>0</v>
      </c>
      <c r="T85" s="105">
        <f>(IF('3 WM cash flow'!Q85&lt;=('1 Reclamation and O&amp;M costs'!$O$23-'1 Reclamation and O&amp;M costs'!$O$22),0,SUMIF('1 Reclamation and O&amp;M costs'!$I$45:$I$60,"&gt;="&amp;'3 WM cash flow'!Q85,'1 Reclamation and O&amp;M costs'!$N$70:$N$85))+IF('3 WM cash flow'!Q85&lt;=('1 Reclamation and O&amp;M costs'!$O$23-'1 Reclamation and O&amp;M costs'!$O$22),'1 Reclamation and O&amp;M costs'!$I$89,0))*(1+$S$8)</f>
        <v>0</v>
      </c>
      <c r="U85" s="106">
        <f>SUMIF('1 Reclamation and O&amp;M costs'!$I$45:$I$60,"&gt;="&amp;Q85,'1 Reclamation and O&amp;M costs'!$Q$70:$Q$85)*(1+$S$8)</f>
        <v>0</v>
      </c>
      <c r="V85" s="86"/>
      <c r="W85" s="86">
        <f t="shared" si="20"/>
        <v>72</v>
      </c>
      <c r="X85" s="105">
        <f>SUMIF('1 Reclamation and O&amp;M costs'!$L$95:$L$112,'3 WM cash flow'!W85,'1 Reclamation and O&amp;M costs'!P$112:$P165)*(1+$S$7)</f>
        <v>0</v>
      </c>
      <c r="Y85" s="106">
        <f>SUMIF('1 Reclamation and O&amp;M costs'!$K$95:$K$112,'3 WM cash flow'!W85,'1 Reclamation and O&amp;M costs'!$T$95:$T$112)*(1+$S$7)</f>
        <v>0</v>
      </c>
      <c r="Z85" s="105">
        <f>SUMIF('1 Reclamation and O&amp;M costs'!$K$95:$K$112,"&gt;="&amp;M85,'1 Reclamation and O&amp;M costs'!$R$95:$R$112)*(1+$S$8)</f>
        <v>0</v>
      </c>
      <c r="AA85" s="106"/>
      <c r="AB85" s="86">
        <f t="shared" si="21"/>
        <v>72</v>
      </c>
      <c r="AC85" s="105">
        <f>SUMIF('1 Reclamation and O&amp;M costs'!$H$122:$H$132,'3 WM cash flow'!AB85,'1 Reclamation and O&amp;M costs'!$Q$122:$Q$132)*(1+$S$7)</f>
        <v>0</v>
      </c>
      <c r="AD85" s="106">
        <f>SUMIF('1 Reclamation and O&amp;M costs'!$H$122:$H$132,"&gt;="&amp;AB85,'1 Reclamation and O&amp;M costs'!$O$122:$O$132)*(1+$S$8)</f>
        <v>0</v>
      </c>
      <c r="AE85" s="108"/>
      <c r="AF85" s="86">
        <f t="shared" si="22"/>
        <v>72</v>
      </c>
      <c r="AG85" s="105">
        <f>(IF(AF85&lt;('1 Reclamation and O&amp;M costs'!$O$23-'1 Reclamation and O&amp;M costs'!$O$22),'2 Sampling Cost'!$O$13,IF(AF85&lt;'1 Reclamation and O&amp;M costs'!$O$24,'2 Sampling Cost'!$O$14,'2 Sampling Cost'!$O$15)))*(1+$S$8)</f>
        <v>3594.3250000000003</v>
      </c>
      <c r="AH85" s="106"/>
      <c r="AI85" s="105">
        <f t="shared" si="23"/>
        <v>3594.3250000000003</v>
      </c>
      <c r="AJ85" s="106"/>
    </row>
    <row r="86" spans="2:36" x14ac:dyDescent="0.25">
      <c r="B86" s="365">
        <f t="shared" si="13"/>
        <v>74</v>
      </c>
      <c r="C86" s="354">
        <f t="shared" si="15"/>
        <v>0</v>
      </c>
      <c r="D86" s="354">
        <f t="shared" si="16"/>
        <v>0</v>
      </c>
      <c r="E86" s="354">
        <f t="shared" si="17"/>
        <v>3594.3250000000003</v>
      </c>
      <c r="F86" s="354">
        <f t="shared" si="18"/>
        <v>3594.3250000000003</v>
      </c>
      <c r="M86" s="86">
        <f t="shared" si="14"/>
        <v>73</v>
      </c>
      <c r="N86" s="105">
        <f>SUMIF('1 Reclamation and O&amp;M costs'!$N$28:$N$37,M86,'1 Reclamation and O&amp;M costs'!$P$28:$P$37)*($S$7+1)</f>
        <v>0</v>
      </c>
      <c r="O86" s="106">
        <f>SUMIF('1 Reclamation and O&amp;M costs'!$M$28:$M$37,"&gt;="&amp;M86,'1 Reclamation and O&amp;M costs'!$R$28:$R$37)*($S$8+1)</f>
        <v>0</v>
      </c>
      <c r="P86" s="86"/>
      <c r="Q86" s="86">
        <f t="shared" si="19"/>
        <v>73</v>
      </c>
      <c r="R86" s="105">
        <f>SUMIF('1 Reclamation and O&amp;M costs'!$J$45:$J$60,'3 WM cash flow'!Q86,'1 Reclamation and O&amp;M costs'!$P$70:$P$85)*(1+$S$8)</f>
        <v>0</v>
      </c>
      <c r="S86" s="106">
        <f>SUMIF('1 Reclamation and O&amp;M costs'!$I$45:$I$60,'3 WM cash flow'!Q86,'1 Reclamation and O&amp;M costs'!$S$70:$S$85)*(1+$S$7)</f>
        <v>0</v>
      </c>
      <c r="T86" s="105">
        <f>(IF('3 WM cash flow'!Q86&lt;=('1 Reclamation and O&amp;M costs'!$O$23-'1 Reclamation and O&amp;M costs'!$O$22),0,SUMIF('1 Reclamation and O&amp;M costs'!$I$45:$I$60,"&gt;="&amp;'3 WM cash flow'!Q86,'1 Reclamation and O&amp;M costs'!$N$70:$N$85))+IF('3 WM cash flow'!Q86&lt;=('1 Reclamation and O&amp;M costs'!$O$23-'1 Reclamation and O&amp;M costs'!$O$22),'1 Reclamation and O&amp;M costs'!$I$89,0))*(1+$S$8)</f>
        <v>0</v>
      </c>
      <c r="U86" s="106">
        <f>SUMIF('1 Reclamation and O&amp;M costs'!$I$45:$I$60,"&gt;="&amp;Q86,'1 Reclamation and O&amp;M costs'!$Q$70:$Q$85)*(1+$S$8)</f>
        <v>0</v>
      </c>
      <c r="V86" s="86"/>
      <c r="W86" s="86">
        <f t="shared" si="20"/>
        <v>73</v>
      </c>
      <c r="X86" s="105">
        <f>SUMIF('1 Reclamation and O&amp;M costs'!$L$95:$L$112,'3 WM cash flow'!W86,'1 Reclamation and O&amp;M costs'!P$112:$P166)*(1+$S$7)</f>
        <v>0</v>
      </c>
      <c r="Y86" s="106">
        <f>SUMIF('1 Reclamation and O&amp;M costs'!$K$95:$K$112,'3 WM cash flow'!W86,'1 Reclamation and O&amp;M costs'!$T$95:$T$112)*(1+$S$7)</f>
        <v>0</v>
      </c>
      <c r="Z86" s="105">
        <f>SUMIF('1 Reclamation and O&amp;M costs'!$K$95:$K$112,"&gt;="&amp;M86,'1 Reclamation and O&amp;M costs'!$R$95:$R$112)*(1+$S$8)</f>
        <v>0</v>
      </c>
      <c r="AA86" s="106"/>
      <c r="AB86" s="86">
        <f t="shared" si="21"/>
        <v>73</v>
      </c>
      <c r="AC86" s="105">
        <f>SUMIF('1 Reclamation and O&amp;M costs'!$H$122:$H$132,'3 WM cash flow'!AB86,'1 Reclamation and O&amp;M costs'!$Q$122:$Q$132)*(1+$S$7)</f>
        <v>0</v>
      </c>
      <c r="AD86" s="106">
        <f>SUMIF('1 Reclamation and O&amp;M costs'!$H$122:$H$132,"&gt;="&amp;AB86,'1 Reclamation and O&amp;M costs'!$O$122:$O$132)*(1+$S$8)</f>
        <v>0</v>
      </c>
      <c r="AE86" s="108"/>
      <c r="AF86" s="86">
        <f t="shared" si="22"/>
        <v>73</v>
      </c>
      <c r="AG86" s="105">
        <f>(IF(AF86&lt;('1 Reclamation and O&amp;M costs'!$O$23-'1 Reclamation and O&amp;M costs'!$O$22),'2 Sampling Cost'!$O$13,IF(AF86&lt;'1 Reclamation and O&amp;M costs'!$O$24,'2 Sampling Cost'!$O$14,'2 Sampling Cost'!$O$15)))*(1+$S$8)</f>
        <v>3594.3250000000003</v>
      </c>
      <c r="AH86" s="106"/>
      <c r="AI86" s="105">
        <f t="shared" si="23"/>
        <v>3594.3250000000003</v>
      </c>
      <c r="AJ86" s="106"/>
    </row>
    <row r="87" spans="2:36" x14ac:dyDescent="0.25">
      <c r="B87" s="365">
        <f t="shared" si="13"/>
        <v>75</v>
      </c>
      <c r="C87" s="354">
        <f t="shared" si="15"/>
        <v>0</v>
      </c>
      <c r="D87" s="354">
        <f t="shared" si="16"/>
        <v>0</v>
      </c>
      <c r="E87" s="354">
        <f t="shared" si="17"/>
        <v>3594.3250000000003</v>
      </c>
      <c r="F87" s="354">
        <f t="shared" si="18"/>
        <v>3594.3250000000003</v>
      </c>
      <c r="M87" s="86">
        <f t="shared" si="14"/>
        <v>74</v>
      </c>
      <c r="N87" s="105">
        <f>SUMIF('1 Reclamation and O&amp;M costs'!$N$28:$N$37,M87,'1 Reclamation and O&amp;M costs'!$P$28:$P$37)*($S$7+1)</f>
        <v>0</v>
      </c>
      <c r="O87" s="106">
        <f>SUMIF('1 Reclamation and O&amp;M costs'!$M$28:$M$37,"&gt;="&amp;M87,'1 Reclamation and O&amp;M costs'!$R$28:$R$37)*($S$8+1)</f>
        <v>0</v>
      </c>
      <c r="P87" s="86"/>
      <c r="Q87" s="86">
        <f t="shared" si="19"/>
        <v>74</v>
      </c>
      <c r="R87" s="105">
        <f>SUMIF('1 Reclamation and O&amp;M costs'!$J$45:$J$60,'3 WM cash flow'!Q87,'1 Reclamation and O&amp;M costs'!$P$70:$P$85)*(1+$S$8)</f>
        <v>0</v>
      </c>
      <c r="S87" s="106">
        <f>SUMIF('1 Reclamation and O&amp;M costs'!$I$45:$I$60,'3 WM cash flow'!Q87,'1 Reclamation and O&amp;M costs'!$S$70:$S$85)*(1+$S$7)</f>
        <v>0</v>
      </c>
      <c r="T87" s="105">
        <f>(IF('3 WM cash flow'!Q87&lt;=('1 Reclamation and O&amp;M costs'!$O$23-'1 Reclamation and O&amp;M costs'!$O$22),0,SUMIF('1 Reclamation and O&amp;M costs'!$I$45:$I$60,"&gt;="&amp;'3 WM cash flow'!Q87,'1 Reclamation and O&amp;M costs'!$N$70:$N$85))+IF('3 WM cash flow'!Q87&lt;=('1 Reclamation and O&amp;M costs'!$O$23-'1 Reclamation and O&amp;M costs'!$O$22),'1 Reclamation and O&amp;M costs'!$I$89,0))*(1+$S$8)</f>
        <v>0</v>
      </c>
      <c r="U87" s="106">
        <f>SUMIF('1 Reclamation and O&amp;M costs'!$I$45:$I$60,"&gt;="&amp;Q87,'1 Reclamation and O&amp;M costs'!$Q$70:$Q$85)*(1+$S$8)</f>
        <v>0</v>
      </c>
      <c r="V87" s="86"/>
      <c r="W87" s="86">
        <f t="shared" si="20"/>
        <v>74</v>
      </c>
      <c r="X87" s="105">
        <f>SUMIF('1 Reclamation and O&amp;M costs'!$L$95:$L$112,'3 WM cash flow'!W87,'1 Reclamation and O&amp;M costs'!P$112:$P167)*(1+$S$7)</f>
        <v>0</v>
      </c>
      <c r="Y87" s="106">
        <f>SUMIF('1 Reclamation and O&amp;M costs'!$K$95:$K$112,'3 WM cash flow'!W87,'1 Reclamation and O&amp;M costs'!$T$95:$T$112)*(1+$S$7)</f>
        <v>0</v>
      </c>
      <c r="Z87" s="105">
        <f>SUMIF('1 Reclamation and O&amp;M costs'!$K$95:$K$112,"&gt;="&amp;M87,'1 Reclamation and O&amp;M costs'!$R$95:$R$112)*(1+$S$8)</f>
        <v>0</v>
      </c>
      <c r="AA87" s="106"/>
      <c r="AB87" s="86">
        <f t="shared" si="21"/>
        <v>74</v>
      </c>
      <c r="AC87" s="105">
        <f>SUMIF('1 Reclamation and O&amp;M costs'!$H$122:$H$132,'3 WM cash flow'!AB87,'1 Reclamation and O&amp;M costs'!$Q$122:$Q$132)*(1+$S$7)</f>
        <v>0</v>
      </c>
      <c r="AD87" s="106">
        <f>SUMIF('1 Reclamation and O&amp;M costs'!$H$122:$H$132,"&gt;="&amp;AB87,'1 Reclamation and O&amp;M costs'!$O$122:$O$132)*(1+$S$8)</f>
        <v>0</v>
      </c>
      <c r="AE87" s="108"/>
      <c r="AF87" s="86">
        <f t="shared" si="22"/>
        <v>74</v>
      </c>
      <c r="AG87" s="105">
        <f>(IF(AF87&lt;('1 Reclamation and O&amp;M costs'!$O$23-'1 Reclamation and O&amp;M costs'!$O$22),'2 Sampling Cost'!$O$13,IF(AF87&lt;'1 Reclamation and O&amp;M costs'!$O$24,'2 Sampling Cost'!$O$14,'2 Sampling Cost'!$O$15)))*(1+$S$8)</f>
        <v>3594.3250000000003</v>
      </c>
      <c r="AH87" s="106"/>
      <c r="AI87" s="105">
        <f t="shared" si="23"/>
        <v>3594.3250000000003</v>
      </c>
      <c r="AJ87" s="106"/>
    </row>
    <row r="88" spans="2:36" x14ac:dyDescent="0.25">
      <c r="B88" s="365">
        <f t="shared" si="13"/>
        <v>76</v>
      </c>
      <c r="C88" s="354">
        <f t="shared" si="15"/>
        <v>0</v>
      </c>
      <c r="D88" s="354">
        <f t="shared" si="16"/>
        <v>0</v>
      </c>
      <c r="E88" s="354">
        <f t="shared" si="17"/>
        <v>3594.3250000000003</v>
      </c>
      <c r="F88" s="354">
        <f t="shared" si="18"/>
        <v>3594.3250000000003</v>
      </c>
      <c r="M88" s="86">
        <f t="shared" si="14"/>
        <v>75</v>
      </c>
      <c r="N88" s="105">
        <f>SUMIF('1 Reclamation and O&amp;M costs'!$N$28:$N$37,M88,'1 Reclamation and O&amp;M costs'!$P$28:$P$37)*($S$7+1)</f>
        <v>0</v>
      </c>
      <c r="O88" s="106">
        <f>SUMIF('1 Reclamation and O&amp;M costs'!$M$28:$M$37,"&gt;="&amp;M88,'1 Reclamation and O&amp;M costs'!$R$28:$R$37)*($S$8+1)</f>
        <v>0</v>
      </c>
      <c r="P88" s="86"/>
      <c r="Q88" s="86">
        <f t="shared" si="19"/>
        <v>75</v>
      </c>
      <c r="R88" s="105">
        <f>SUMIF('1 Reclamation and O&amp;M costs'!$J$45:$J$60,'3 WM cash flow'!Q88,'1 Reclamation and O&amp;M costs'!$P$70:$P$85)*(1+$S$8)</f>
        <v>0</v>
      </c>
      <c r="S88" s="106">
        <f>SUMIF('1 Reclamation and O&amp;M costs'!$I$45:$I$60,'3 WM cash flow'!Q88,'1 Reclamation and O&amp;M costs'!$S$70:$S$85)*(1+$S$7)</f>
        <v>0</v>
      </c>
      <c r="T88" s="105">
        <f>(IF('3 WM cash flow'!Q88&lt;=('1 Reclamation and O&amp;M costs'!$O$23-'1 Reclamation and O&amp;M costs'!$O$22),0,SUMIF('1 Reclamation and O&amp;M costs'!$I$45:$I$60,"&gt;="&amp;'3 WM cash flow'!Q88,'1 Reclamation and O&amp;M costs'!$N$70:$N$85))+IF('3 WM cash flow'!Q88&lt;=('1 Reclamation and O&amp;M costs'!$O$23-'1 Reclamation and O&amp;M costs'!$O$22),'1 Reclamation and O&amp;M costs'!$I$89,0))*(1+$S$8)</f>
        <v>0</v>
      </c>
      <c r="U88" s="106">
        <f>SUMIF('1 Reclamation and O&amp;M costs'!$I$45:$I$60,"&gt;="&amp;Q88,'1 Reclamation and O&amp;M costs'!$Q$70:$Q$85)*(1+$S$8)</f>
        <v>0</v>
      </c>
      <c r="V88" s="86"/>
      <c r="W88" s="86">
        <f t="shared" si="20"/>
        <v>75</v>
      </c>
      <c r="X88" s="105">
        <f>SUMIF('1 Reclamation and O&amp;M costs'!$L$95:$L$112,'3 WM cash flow'!W88,'1 Reclamation and O&amp;M costs'!P$112:$P168)*(1+$S$7)</f>
        <v>0</v>
      </c>
      <c r="Y88" s="106">
        <f>SUMIF('1 Reclamation and O&amp;M costs'!$K$95:$K$112,'3 WM cash flow'!W88,'1 Reclamation and O&amp;M costs'!$T$95:$T$112)*(1+$S$7)</f>
        <v>0</v>
      </c>
      <c r="Z88" s="105">
        <f>SUMIF('1 Reclamation and O&amp;M costs'!$K$95:$K$112,"&gt;="&amp;M88,'1 Reclamation and O&amp;M costs'!$R$95:$R$112)*(1+$S$8)</f>
        <v>0</v>
      </c>
      <c r="AA88" s="106"/>
      <c r="AB88" s="86">
        <f t="shared" si="21"/>
        <v>75</v>
      </c>
      <c r="AC88" s="105">
        <f>SUMIF('1 Reclamation and O&amp;M costs'!$H$122:$H$132,'3 WM cash flow'!AB88,'1 Reclamation and O&amp;M costs'!$Q$122:$Q$132)*(1+$S$7)</f>
        <v>0</v>
      </c>
      <c r="AD88" s="106">
        <f>SUMIF('1 Reclamation and O&amp;M costs'!$H$122:$H$132,"&gt;="&amp;AB88,'1 Reclamation and O&amp;M costs'!$O$122:$O$132)*(1+$S$8)</f>
        <v>0</v>
      </c>
      <c r="AE88" s="108"/>
      <c r="AF88" s="86">
        <f t="shared" si="22"/>
        <v>75</v>
      </c>
      <c r="AG88" s="105">
        <f>(IF(AF88&lt;('1 Reclamation and O&amp;M costs'!$O$23-'1 Reclamation and O&amp;M costs'!$O$22),'2 Sampling Cost'!$O$13,IF(AF88&lt;'1 Reclamation and O&amp;M costs'!$O$24,'2 Sampling Cost'!$O$14,'2 Sampling Cost'!$O$15)))*(1+$S$8)</f>
        <v>3594.3250000000003</v>
      </c>
      <c r="AH88" s="106"/>
      <c r="AI88" s="105">
        <f t="shared" si="23"/>
        <v>3594.3250000000003</v>
      </c>
      <c r="AJ88" s="106"/>
    </row>
    <row r="89" spans="2:36" x14ac:dyDescent="0.25">
      <c r="B89" s="365">
        <f t="shared" si="13"/>
        <v>77</v>
      </c>
      <c r="C89" s="354">
        <f t="shared" si="15"/>
        <v>0</v>
      </c>
      <c r="D89" s="354">
        <f t="shared" si="16"/>
        <v>0</v>
      </c>
      <c r="E89" s="354">
        <f t="shared" si="17"/>
        <v>3594.3250000000003</v>
      </c>
      <c r="F89" s="354">
        <f t="shared" si="18"/>
        <v>3594.3250000000003</v>
      </c>
      <c r="M89" s="86">
        <f t="shared" si="14"/>
        <v>76</v>
      </c>
      <c r="N89" s="105">
        <f>SUMIF('1 Reclamation and O&amp;M costs'!$N$28:$N$37,M89,'1 Reclamation and O&amp;M costs'!$P$28:$P$37)*($S$7+1)</f>
        <v>0</v>
      </c>
      <c r="O89" s="106">
        <f>SUMIF('1 Reclamation and O&amp;M costs'!$M$28:$M$37,"&gt;="&amp;M89,'1 Reclamation and O&amp;M costs'!$R$28:$R$37)*($S$8+1)</f>
        <v>0</v>
      </c>
      <c r="P89" s="86"/>
      <c r="Q89" s="86">
        <f t="shared" si="19"/>
        <v>76</v>
      </c>
      <c r="R89" s="105">
        <f>SUMIF('1 Reclamation and O&amp;M costs'!$J$45:$J$60,'3 WM cash flow'!Q89,'1 Reclamation and O&amp;M costs'!$P$70:$P$85)*(1+$S$8)</f>
        <v>0</v>
      </c>
      <c r="S89" s="106">
        <f>SUMIF('1 Reclamation and O&amp;M costs'!$I$45:$I$60,'3 WM cash flow'!Q89,'1 Reclamation and O&amp;M costs'!$S$70:$S$85)*(1+$S$7)</f>
        <v>0</v>
      </c>
      <c r="T89" s="105">
        <f>(IF('3 WM cash flow'!Q89&lt;=('1 Reclamation and O&amp;M costs'!$O$23-'1 Reclamation and O&amp;M costs'!$O$22),0,SUMIF('1 Reclamation and O&amp;M costs'!$I$45:$I$60,"&gt;="&amp;'3 WM cash flow'!Q89,'1 Reclamation and O&amp;M costs'!$N$70:$N$85))+IF('3 WM cash flow'!Q89&lt;=('1 Reclamation and O&amp;M costs'!$O$23-'1 Reclamation and O&amp;M costs'!$O$22),'1 Reclamation and O&amp;M costs'!$I$89,0))*(1+$S$8)</f>
        <v>0</v>
      </c>
      <c r="U89" s="106">
        <f>SUMIF('1 Reclamation and O&amp;M costs'!$I$45:$I$60,"&gt;="&amp;Q89,'1 Reclamation and O&amp;M costs'!$Q$70:$Q$85)*(1+$S$8)</f>
        <v>0</v>
      </c>
      <c r="V89" s="86"/>
      <c r="W89" s="86">
        <f t="shared" si="20"/>
        <v>76</v>
      </c>
      <c r="X89" s="105">
        <f>SUMIF('1 Reclamation and O&amp;M costs'!$L$95:$L$112,'3 WM cash flow'!W89,'1 Reclamation and O&amp;M costs'!P$112:$P169)*(1+$S$7)</f>
        <v>0</v>
      </c>
      <c r="Y89" s="106">
        <f>SUMIF('1 Reclamation and O&amp;M costs'!$K$95:$K$112,'3 WM cash flow'!W89,'1 Reclamation and O&amp;M costs'!$T$95:$T$112)*(1+$S$7)</f>
        <v>0</v>
      </c>
      <c r="Z89" s="105">
        <f>SUMIF('1 Reclamation and O&amp;M costs'!$K$95:$K$112,"&gt;="&amp;M89,'1 Reclamation and O&amp;M costs'!$R$95:$R$112)*(1+$S$8)</f>
        <v>0</v>
      </c>
      <c r="AA89" s="106"/>
      <c r="AB89" s="86">
        <f t="shared" si="21"/>
        <v>76</v>
      </c>
      <c r="AC89" s="105">
        <f>SUMIF('1 Reclamation and O&amp;M costs'!$H$122:$H$132,'3 WM cash flow'!AB89,'1 Reclamation and O&amp;M costs'!$Q$122:$Q$132)*(1+$S$7)</f>
        <v>0</v>
      </c>
      <c r="AD89" s="106">
        <f>SUMIF('1 Reclamation and O&amp;M costs'!$H$122:$H$132,"&gt;="&amp;AB89,'1 Reclamation and O&amp;M costs'!$O$122:$O$132)*(1+$S$8)</f>
        <v>0</v>
      </c>
      <c r="AE89" s="108"/>
      <c r="AF89" s="86">
        <f t="shared" si="22"/>
        <v>76</v>
      </c>
      <c r="AG89" s="105">
        <f>(IF(AF89&lt;('1 Reclamation and O&amp;M costs'!$O$23-'1 Reclamation and O&amp;M costs'!$O$22),'2 Sampling Cost'!$O$13,IF(AF89&lt;'1 Reclamation and O&amp;M costs'!$O$24,'2 Sampling Cost'!$O$14,'2 Sampling Cost'!$O$15)))*(1+$S$8)</f>
        <v>3594.3250000000003</v>
      </c>
      <c r="AH89" s="106"/>
      <c r="AI89" s="105">
        <f t="shared" si="23"/>
        <v>3594.3250000000003</v>
      </c>
      <c r="AJ89" s="106"/>
    </row>
    <row r="90" spans="2:36" x14ac:dyDescent="0.25">
      <c r="B90" s="365">
        <f t="shared" si="13"/>
        <v>78</v>
      </c>
      <c r="C90" s="354">
        <f t="shared" si="15"/>
        <v>0</v>
      </c>
      <c r="D90" s="354">
        <f t="shared" si="16"/>
        <v>0</v>
      </c>
      <c r="E90" s="354">
        <f t="shared" si="17"/>
        <v>3594.3250000000003</v>
      </c>
      <c r="F90" s="354">
        <f t="shared" si="18"/>
        <v>3594.3250000000003</v>
      </c>
      <c r="M90" s="86">
        <f t="shared" si="14"/>
        <v>77</v>
      </c>
      <c r="N90" s="105">
        <f>SUMIF('1 Reclamation and O&amp;M costs'!$N$28:$N$37,M90,'1 Reclamation and O&amp;M costs'!$P$28:$P$37)*($S$7+1)</f>
        <v>0</v>
      </c>
      <c r="O90" s="106">
        <f>SUMIF('1 Reclamation and O&amp;M costs'!$M$28:$M$37,"&gt;="&amp;M90,'1 Reclamation and O&amp;M costs'!$R$28:$R$37)*($S$8+1)</f>
        <v>0</v>
      </c>
      <c r="P90" s="86"/>
      <c r="Q90" s="86">
        <f t="shared" si="19"/>
        <v>77</v>
      </c>
      <c r="R90" s="105">
        <f>SUMIF('1 Reclamation and O&amp;M costs'!$J$45:$J$60,'3 WM cash flow'!Q90,'1 Reclamation and O&amp;M costs'!$P$70:$P$85)*(1+$S$8)</f>
        <v>0</v>
      </c>
      <c r="S90" s="106">
        <f>SUMIF('1 Reclamation and O&amp;M costs'!$I$45:$I$60,'3 WM cash flow'!Q90,'1 Reclamation and O&amp;M costs'!$S$70:$S$85)*(1+$S$7)</f>
        <v>0</v>
      </c>
      <c r="T90" s="105">
        <f>(IF('3 WM cash flow'!Q90&lt;=('1 Reclamation and O&amp;M costs'!$O$23-'1 Reclamation and O&amp;M costs'!$O$22),0,SUMIF('1 Reclamation and O&amp;M costs'!$I$45:$I$60,"&gt;="&amp;'3 WM cash flow'!Q90,'1 Reclamation and O&amp;M costs'!$N$70:$N$85))+IF('3 WM cash flow'!Q90&lt;=('1 Reclamation and O&amp;M costs'!$O$23-'1 Reclamation and O&amp;M costs'!$O$22),'1 Reclamation and O&amp;M costs'!$I$89,0))*(1+$S$8)</f>
        <v>0</v>
      </c>
      <c r="U90" s="106">
        <f>SUMIF('1 Reclamation and O&amp;M costs'!$I$45:$I$60,"&gt;="&amp;Q90,'1 Reclamation and O&amp;M costs'!$Q$70:$Q$85)*(1+$S$8)</f>
        <v>0</v>
      </c>
      <c r="V90" s="86"/>
      <c r="W90" s="86">
        <f t="shared" si="20"/>
        <v>77</v>
      </c>
      <c r="X90" s="105">
        <f>SUMIF('1 Reclamation and O&amp;M costs'!$L$95:$L$112,'3 WM cash flow'!W90,'1 Reclamation and O&amp;M costs'!P$112:$P170)*(1+$S$7)</f>
        <v>0</v>
      </c>
      <c r="Y90" s="106">
        <f>SUMIF('1 Reclamation and O&amp;M costs'!$K$95:$K$112,'3 WM cash flow'!W90,'1 Reclamation and O&amp;M costs'!$T$95:$T$112)*(1+$S$7)</f>
        <v>0</v>
      </c>
      <c r="Z90" s="105">
        <f>SUMIF('1 Reclamation and O&amp;M costs'!$K$95:$K$112,"&gt;="&amp;M90,'1 Reclamation and O&amp;M costs'!$R$95:$R$112)*(1+$S$8)</f>
        <v>0</v>
      </c>
      <c r="AA90" s="106"/>
      <c r="AB90" s="86">
        <f t="shared" si="21"/>
        <v>77</v>
      </c>
      <c r="AC90" s="105">
        <f>SUMIF('1 Reclamation and O&amp;M costs'!$H$122:$H$132,'3 WM cash flow'!AB90,'1 Reclamation and O&amp;M costs'!$Q$122:$Q$132)*(1+$S$7)</f>
        <v>0</v>
      </c>
      <c r="AD90" s="106">
        <f>SUMIF('1 Reclamation and O&amp;M costs'!$H$122:$H$132,"&gt;="&amp;AB90,'1 Reclamation and O&amp;M costs'!$O$122:$O$132)*(1+$S$8)</f>
        <v>0</v>
      </c>
      <c r="AE90" s="108"/>
      <c r="AF90" s="86">
        <f t="shared" si="22"/>
        <v>77</v>
      </c>
      <c r="AG90" s="105">
        <f>(IF(AF90&lt;('1 Reclamation and O&amp;M costs'!$O$23-'1 Reclamation and O&amp;M costs'!$O$22),'2 Sampling Cost'!$O$13,IF(AF90&lt;'1 Reclamation and O&amp;M costs'!$O$24,'2 Sampling Cost'!$O$14,'2 Sampling Cost'!$O$15)))*(1+$S$8)</f>
        <v>3594.3250000000003</v>
      </c>
      <c r="AH90" s="106"/>
      <c r="AI90" s="105">
        <f t="shared" si="23"/>
        <v>3594.3250000000003</v>
      </c>
      <c r="AJ90" s="106"/>
    </row>
    <row r="91" spans="2:36" x14ac:dyDescent="0.25">
      <c r="B91" s="365">
        <f t="shared" si="13"/>
        <v>79</v>
      </c>
      <c r="C91" s="354">
        <f t="shared" si="15"/>
        <v>0</v>
      </c>
      <c r="D91" s="354">
        <f t="shared" si="16"/>
        <v>0</v>
      </c>
      <c r="E91" s="354">
        <f t="shared" si="17"/>
        <v>3594.3250000000003</v>
      </c>
      <c r="F91" s="354">
        <f t="shared" si="18"/>
        <v>3594.3250000000003</v>
      </c>
      <c r="M91" s="86">
        <f t="shared" si="14"/>
        <v>78</v>
      </c>
      <c r="N91" s="105">
        <f>SUMIF('1 Reclamation and O&amp;M costs'!$N$28:$N$37,M91,'1 Reclamation and O&amp;M costs'!$P$28:$P$37)*($S$7+1)</f>
        <v>0</v>
      </c>
      <c r="O91" s="106">
        <f>SUMIF('1 Reclamation and O&amp;M costs'!$M$28:$M$37,"&gt;="&amp;M91,'1 Reclamation and O&amp;M costs'!$R$28:$R$37)*($S$8+1)</f>
        <v>0</v>
      </c>
      <c r="P91" s="86"/>
      <c r="Q91" s="86">
        <f t="shared" si="19"/>
        <v>78</v>
      </c>
      <c r="R91" s="105">
        <f>SUMIF('1 Reclamation and O&amp;M costs'!$J$45:$J$60,'3 WM cash flow'!Q91,'1 Reclamation and O&amp;M costs'!$P$70:$P$85)*(1+$S$8)</f>
        <v>0</v>
      </c>
      <c r="S91" s="106">
        <f>SUMIF('1 Reclamation and O&amp;M costs'!$I$45:$I$60,'3 WM cash flow'!Q91,'1 Reclamation and O&amp;M costs'!$S$70:$S$85)*(1+$S$7)</f>
        <v>0</v>
      </c>
      <c r="T91" s="105">
        <f>(IF('3 WM cash flow'!Q91&lt;=('1 Reclamation and O&amp;M costs'!$O$23-'1 Reclamation and O&amp;M costs'!$O$22),0,SUMIF('1 Reclamation and O&amp;M costs'!$I$45:$I$60,"&gt;="&amp;'3 WM cash flow'!Q91,'1 Reclamation and O&amp;M costs'!$N$70:$N$85))+IF('3 WM cash flow'!Q91&lt;=('1 Reclamation and O&amp;M costs'!$O$23-'1 Reclamation and O&amp;M costs'!$O$22),'1 Reclamation and O&amp;M costs'!$I$89,0))*(1+$S$8)</f>
        <v>0</v>
      </c>
      <c r="U91" s="106">
        <f>SUMIF('1 Reclamation and O&amp;M costs'!$I$45:$I$60,"&gt;="&amp;Q91,'1 Reclamation and O&amp;M costs'!$Q$70:$Q$85)*(1+$S$8)</f>
        <v>0</v>
      </c>
      <c r="V91" s="86"/>
      <c r="W91" s="86">
        <f t="shared" si="20"/>
        <v>78</v>
      </c>
      <c r="X91" s="105">
        <f>SUMIF('1 Reclamation and O&amp;M costs'!$L$95:$L$112,'3 WM cash flow'!W91,'1 Reclamation and O&amp;M costs'!P$112:$P171)*(1+$S$7)</f>
        <v>0</v>
      </c>
      <c r="Y91" s="106">
        <f>SUMIF('1 Reclamation and O&amp;M costs'!$K$95:$K$112,'3 WM cash flow'!W91,'1 Reclamation and O&amp;M costs'!$T$95:$T$112)*(1+$S$7)</f>
        <v>0</v>
      </c>
      <c r="Z91" s="105">
        <f>SUMIF('1 Reclamation and O&amp;M costs'!$K$95:$K$112,"&gt;="&amp;M91,'1 Reclamation and O&amp;M costs'!$R$95:$R$112)*(1+$S$8)</f>
        <v>0</v>
      </c>
      <c r="AA91" s="106"/>
      <c r="AB91" s="86">
        <f t="shared" si="21"/>
        <v>78</v>
      </c>
      <c r="AC91" s="105">
        <f>SUMIF('1 Reclamation and O&amp;M costs'!$H$122:$H$132,'3 WM cash flow'!AB91,'1 Reclamation and O&amp;M costs'!$Q$122:$Q$132)*(1+$S$7)</f>
        <v>0</v>
      </c>
      <c r="AD91" s="106">
        <f>SUMIF('1 Reclamation and O&amp;M costs'!$H$122:$H$132,"&gt;="&amp;AB91,'1 Reclamation and O&amp;M costs'!$O$122:$O$132)*(1+$S$8)</f>
        <v>0</v>
      </c>
      <c r="AE91" s="108"/>
      <c r="AF91" s="86">
        <f t="shared" si="22"/>
        <v>78</v>
      </c>
      <c r="AG91" s="105">
        <f>(IF(AF91&lt;('1 Reclamation and O&amp;M costs'!$O$23-'1 Reclamation and O&amp;M costs'!$O$22),'2 Sampling Cost'!$O$13,IF(AF91&lt;'1 Reclamation and O&amp;M costs'!$O$24,'2 Sampling Cost'!$O$14,'2 Sampling Cost'!$O$15)))*(1+$S$8)</f>
        <v>3594.3250000000003</v>
      </c>
      <c r="AH91" s="106"/>
      <c r="AI91" s="105">
        <f t="shared" si="23"/>
        <v>3594.3250000000003</v>
      </c>
      <c r="AJ91" s="106"/>
    </row>
    <row r="92" spans="2:36" x14ac:dyDescent="0.25">
      <c r="B92" s="365">
        <f t="shared" si="13"/>
        <v>80</v>
      </c>
      <c r="C92" s="354">
        <f t="shared" si="15"/>
        <v>0</v>
      </c>
      <c r="D92" s="354">
        <f t="shared" si="16"/>
        <v>0</v>
      </c>
      <c r="E92" s="354">
        <f t="shared" si="17"/>
        <v>3594.3250000000003</v>
      </c>
      <c r="F92" s="354">
        <f t="shared" si="18"/>
        <v>3594.3250000000003</v>
      </c>
      <c r="M92" s="86">
        <f t="shared" si="14"/>
        <v>79</v>
      </c>
      <c r="N92" s="105">
        <f>SUMIF('1 Reclamation and O&amp;M costs'!$N$28:$N$37,M92,'1 Reclamation and O&amp;M costs'!$P$28:$P$37)*($S$7+1)</f>
        <v>0</v>
      </c>
      <c r="O92" s="106">
        <f>SUMIF('1 Reclamation and O&amp;M costs'!$M$28:$M$37,"&gt;="&amp;M92,'1 Reclamation and O&amp;M costs'!$R$28:$R$37)*($S$8+1)</f>
        <v>0</v>
      </c>
      <c r="P92" s="86"/>
      <c r="Q92" s="86">
        <f t="shared" si="19"/>
        <v>79</v>
      </c>
      <c r="R92" s="105">
        <f>SUMIF('1 Reclamation and O&amp;M costs'!$J$45:$J$60,'3 WM cash flow'!Q92,'1 Reclamation and O&amp;M costs'!$P$70:$P$85)*(1+$S$8)</f>
        <v>0</v>
      </c>
      <c r="S92" s="106">
        <f>SUMIF('1 Reclamation and O&amp;M costs'!$I$45:$I$60,'3 WM cash flow'!Q92,'1 Reclamation and O&amp;M costs'!$S$70:$S$85)*(1+$S$7)</f>
        <v>0</v>
      </c>
      <c r="T92" s="105">
        <f>(IF('3 WM cash flow'!Q92&lt;=('1 Reclamation and O&amp;M costs'!$O$23-'1 Reclamation and O&amp;M costs'!$O$22),0,SUMIF('1 Reclamation and O&amp;M costs'!$I$45:$I$60,"&gt;="&amp;'3 WM cash flow'!Q92,'1 Reclamation and O&amp;M costs'!$N$70:$N$85))+IF('3 WM cash flow'!Q92&lt;=('1 Reclamation and O&amp;M costs'!$O$23-'1 Reclamation and O&amp;M costs'!$O$22),'1 Reclamation and O&amp;M costs'!$I$89,0))*(1+$S$8)</f>
        <v>0</v>
      </c>
      <c r="U92" s="106">
        <f>SUMIF('1 Reclamation and O&amp;M costs'!$I$45:$I$60,"&gt;="&amp;Q92,'1 Reclamation and O&amp;M costs'!$Q$70:$Q$85)*(1+$S$8)</f>
        <v>0</v>
      </c>
      <c r="V92" s="86"/>
      <c r="W92" s="86">
        <f t="shared" si="20"/>
        <v>79</v>
      </c>
      <c r="X92" s="105">
        <f>SUMIF('1 Reclamation and O&amp;M costs'!$L$95:$L$112,'3 WM cash flow'!W92,'1 Reclamation and O&amp;M costs'!P$112:$P172)*(1+$S$7)</f>
        <v>0</v>
      </c>
      <c r="Y92" s="106">
        <f>SUMIF('1 Reclamation and O&amp;M costs'!$K$95:$K$112,'3 WM cash flow'!W92,'1 Reclamation and O&amp;M costs'!$T$95:$T$112)*(1+$S$7)</f>
        <v>0</v>
      </c>
      <c r="Z92" s="105">
        <f>SUMIF('1 Reclamation and O&amp;M costs'!$K$95:$K$112,"&gt;="&amp;M92,'1 Reclamation and O&amp;M costs'!$R$95:$R$112)*(1+$S$8)</f>
        <v>0</v>
      </c>
      <c r="AA92" s="106"/>
      <c r="AB92" s="86">
        <f t="shared" si="21"/>
        <v>79</v>
      </c>
      <c r="AC92" s="105">
        <f>SUMIF('1 Reclamation and O&amp;M costs'!$H$122:$H$132,'3 WM cash flow'!AB92,'1 Reclamation and O&amp;M costs'!$Q$122:$Q$132)*(1+$S$7)</f>
        <v>0</v>
      </c>
      <c r="AD92" s="106">
        <f>SUMIF('1 Reclamation and O&amp;M costs'!$H$122:$H$132,"&gt;="&amp;AB92,'1 Reclamation and O&amp;M costs'!$O$122:$O$132)*(1+$S$8)</f>
        <v>0</v>
      </c>
      <c r="AE92" s="108"/>
      <c r="AF92" s="86">
        <f t="shared" si="22"/>
        <v>79</v>
      </c>
      <c r="AG92" s="105">
        <f>(IF(AF92&lt;('1 Reclamation and O&amp;M costs'!$O$23-'1 Reclamation and O&amp;M costs'!$O$22),'2 Sampling Cost'!$O$13,IF(AF92&lt;'1 Reclamation and O&amp;M costs'!$O$24,'2 Sampling Cost'!$O$14,'2 Sampling Cost'!$O$15)))*(1+$S$8)</f>
        <v>3594.3250000000003</v>
      </c>
      <c r="AH92" s="106"/>
      <c r="AI92" s="105">
        <f t="shared" si="23"/>
        <v>3594.3250000000003</v>
      </c>
      <c r="AJ92" s="106"/>
    </row>
    <row r="93" spans="2:36" x14ac:dyDescent="0.25">
      <c r="B93" s="365">
        <f t="shared" si="13"/>
        <v>81</v>
      </c>
      <c r="C93" s="354">
        <f t="shared" si="15"/>
        <v>0</v>
      </c>
      <c r="D93" s="354">
        <f t="shared" si="16"/>
        <v>0</v>
      </c>
      <c r="E93" s="354">
        <f t="shared" si="17"/>
        <v>3594.3250000000003</v>
      </c>
      <c r="F93" s="354">
        <f t="shared" si="18"/>
        <v>3594.3250000000003</v>
      </c>
      <c r="M93" s="86">
        <f t="shared" si="14"/>
        <v>80</v>
      </c>
      <c r="N93" s="105">
        <f>SUMIF('1 Reclamation and O&amp;M costs'!$N$28:$N$37,M93,'1 Reclamation and O&amp;M costs'!$P$28:$P$37)*($S$7+1)</f>
        <v>0</v>
      </c>
      <c r="O93" s="106">
        <f>SUMIF('1 Reclamation and O&amp;M costs'!$M$28:$M$37,"&gt;="&amp;M93,'1 Reclamation and O&amp;M costs'!$R$28:$R$37)*($S$8+1)</f>
        <v>0</v>
      </c>
      <c r="P93" s="86"/>
      <c r="Q93" s="86">
        <f t="shared" si="19"/>
        <v>80</v>
      </c>
      <c r="R93" s="105">
        <f>SUMIF('1 Reclamation and O&amp;M costs'!$J$45:$J$60,'3 WM cash flow'!Q93,'1 Reclamation and O&amp;M costs'!$P$70:$P$85)*(1+$S$8)</f>
        <v>0</v>
      </c>
      <c r="S93" s="106">
        <f>SUMIF('1 Reclamation and O&amp;M costs'!$I$45:$I$60,'3 WM cash flow'!Q93,'1 Reclamation and O&amp;M costs'!$S$70:$S$85)*(1+$S$7)</f>
        <v>0</v>
      </c>
      <c r="T93" s="105">
        <f>(IF('3 WM cash flow'!Q93&lt;=('1 Reclamation and O&amp;M costs'!$O$23-'1 Reclamation and O&amp;M costs'!$O$22),0,SUMIF('1 Reclamation and O&amp;M costs'!$I$45:$I$60,"&gt;="&amp;'3 WM cash flow'!Q93,'1 Reclamation and O&amp;M costs'!$N$70:$N$85))+IF('3 WM cash flow'!Q93&lt;=('1 Reclamation and O&amp;M costs'!$O$23-'1 Reclamation and O&amp;M costs'!$O$22),'1 Reclamation and O&amp;M costs'!$I$89,0))*(1+$S$8)</f>
        <v>0</v>
      </c>
      <c r="U93" s="106">
        <f>SUMIF('1 Reclamation and O&amp;M costs'!$I$45:$I$60,"&gt;="&amp;Q93,'1 Reclamation and O&amp;M costs'!$Q$70:$Q$85)*(1+$S$8)</f>
        <v>0</v>
      </c>
      <c r="V93" s="86"/>
      <c r="W93" s="86">
        <f t="shared" si="20"/>
        <v>80</v>
      </c>
      <c r="X93" s="105">
        <f>SUMIF('1 Reclamation and O&amp;M costs'!$L$95:$L$112,'3 WM cash flow'!W93,'1 Reclamation and O&amp;M costs'!P$112:$P173)*(1+$S$7)</f>
        <v>0</v>
      </c>
      <c r="Y93" s="106">
        <f>SUMIF('1 Reclamation and O&amp;M costs'!$K$95:$K$112,'3 WM cash flow'!W93,'1 Reclamation and O&amp;M costs'!$T$95:$T$112)*(1+$S$7)</f>
        <v>0</v>
      </c>
      <c r="Z93" s="105">
        <f>SUMIF('1 Reclamation and O&amp;M costs'!$K$95:$K$112,"&gt;="&amp;M93,'1 Reclamation and O&amp;M costs'!$R$95:$R$112)*(1+$S$8)</f>
        <v>0</v>
      </c>
      <c r="AA93" s="106"/>
      <c r="AB93" s="86">
        <f t="shared" si="21"/>
        <v>80</v>
      </c>
      <c r="AC93" s="105">
        <f>SUMIF('1 Reclamation and O&amp;M costs'!$H$122:$H$132,'3 WM cash flow'!AB93,'1 Reclamation and O&amp;M costs'!$Q$122:$Q$132)*(1+$S$7)</f>
        <v>0</v>
      </c>
      <c r="AD93" s="106">
        <f>SUMIF('1 Reclamation and O&amp;M costs'!$H$122:$H$132,"&gt;="&amp;AB93,'1 Reclamation and O&amp;M costs'!$O$122:$O$132)*(1+$S$8)</f>
        <v>0</v>
      </c>
      <c r="AE93" s="108"/>
      <c r="AF93" s="86">
        <f t="shared" si="22"/>
        <v>80</v>
      </c>
      <c r="AG93" s="105">
        <f>(IF(AF93&lt;('1 Reclamation and O&amp;M costs'!$O$23-'1 Reclamation and O&amp;M costs'!$O$22),'2 Sampling Cost'!$O$13,IF(AF93&lt;'1 Reclamation and O&amp;M costs'!$O$24,'2 Sampling Cost'!$O$14,'2 Sampling Cost'!$O$15)))*(1+$S$8)</f>
        <v>3594.3250000000003</v>
      </c>
      <c r="AH93" s="106"/>
      <c r="AI93" s="105">
        <f t="shared" si="23"/>
        <v>3594.3250000000003</v>
      </c>
      <c r="AJ93" s="106"/>
    </row>
    <row r="94" spans="2:36" x14ac:dyDescent="0.25">
      <c r="B94" s="365">
        <f t="shared" si="13"/>
        <v>82</v>
      </c>
      <c r="C94" s="354">
        <f t="shared" si="15"/>
        <v>0</v>
      </c>
      <c r="D94" s="354">
        <f t="shared" si="16"/>
        <v>0</v>
      </c>
      <c r="E94" s="354">
        <f t="shared" si="17"/>
        <v>3594.3250000000003</v>
      </c>
      <c r="F94" s="354">
        <f t="shared" si="18"/>
        <v>3594.3250000000003</v>
      </c>
      <c r="M94" s="86">
        <f t="shared" si="14"/>
        <v>81</v>
      </c>
      <c r="N94" s="105">
        <f>SUMIF('1 Reclamation and O&amp;M costs'!$N$28:$N$37,M94,'1 Reclamation and O&amp;M costs'!$P$28:$P$37)*($S$7+1)</f>
        <v>0</v>
      </c>
      <c r="O94" s="106">
        <f>SUMIF('1 Reclamation and O&amp;M costs'!$M$28:$M$37,"&gt;="&amp;M94,'1 Reclamation and O&amp;M costs'!$R$28:$R$37)*($S$8+1)</f>
        <v>0</v>
      </c>
      <c r="P94" s="86"/>
      <c r="Q94" s="86">
        <f t="shared" si="19"/>
        <v>81</v>
      </c>
      <c r="R94" s="105">
        <f>SUMIF('1 Reclamation and O&amp;M costs'!$J$45:$J$60,'3 WM cash flow'!Q94,'1 Reclamation and O&amp;M costs'!$P$70:$P$85)*(1+$S$8)</f>
        <v>0</v>
      </c>
      <c r="S94" s="106">
        <f>SUMIF('1 Reclamation and O&amp;M costs'!$I$45:$I$60,'3 WM cash flow'!Q94,'1 Reclamation and O&amp;M costs'!$S$70:$S$85)*(1+$S$7)</f>
        <v>0</v>
      </c>
      <c r="T94" s="105">
        <f>(IF('3 WM cash flow'!Q94&lt;=('1 Reclamation and O&amp;M costs'!$O$23-'1 Reclamation and O&amp;M costs'!$O$22),0,SUMIF('1 Reclamation and O&amp;M costs'!$I$45:$I$60,"&gt;="&amp;'3 WM cash flow'!Q94,'1 Reclamation and O&amp;M costs'!$N$70:$N$85))+IF('3 WM cash flow'!Q94&lt;=('1 Reclamation and O&amp;M costs'!$O$23-'1 Reclamation and O&amp;M costs'!$O$22),'1 Reclamation and O&amp;M costs'!$I$89,0))*(1+$S$8)</f>
        <v>0</v>
      </c>
      <c r="U94" s="106">
        <f>SUMIF('1 Reclamation and O&amp;M costs'!$I$45:$I$60,"&gt;="&amp;Q94,'1 Reclamation and O&amp;M costs'!$Q$70:$Q$85)*(1+$S$8)</f>
        <v>0</v>
      </c>
      <c r="V94" s="86"/>
      <c r="W94" s="86">
        <f t="shared" si="20"/>
        <v>81</v>
      </c>
      <c r="X94" s="105">
        <f>SUMIF('1 Reclamation and O&amp;M costs'!$L$95:$L$112,'3 WM cash flow'!W94,'1 Reclamation and O&amp;M costs'!P$112:$P174)*(1+$S$7)</f>
        <v>0</v>
      </c>
      <c r="Y94" s="106">
        <f>SUMIF('1 Reclamation and O&amp;M costs'!$K$95:$K$112,'3 WM cash flow'!W94,'1 Reclamation and O&amp;M costs'!$T$95:$T$112)*(1+$S$7)</f>
        <v>0</v>
      </c>
      <c r="Z94" s="105">
        <f>SUMIF('1 Reclamation and O&amp;M costs'!$K$95:$K$112,"&gt;="&amp;M94,'1 Reclamation and O&amp;M costs'!$R$95:$R$112)*(1+$S$8)</f>
        <v>0</v>
      </c>
      <c r="AA94" s="106"/>
      <c r="AB94" s="86">
        <f t="shared" si="21"/>
        <v>81</v>
      </c>
      <c r="AC94" s="105">
        <f>SUMIF('1 Reclamation and O&amp;M costs'!$H$122:$H$132,'3 WM cash flow'!AB94,'1 Reclamation and O&amp;M costs'!$Q$122:$Q$132)*(1+$S$7)</f>
        <v>0</v>
      </c>
      <c r="AD94" s="106">
        <f>SUMIF('1 Reclamation and O&amp;M costs'!$H$122:$H$132,"&gt;="&amp;AB94,'1 Reclamation and O&amp;M costs'!$O$122:$O$132)*(1+$S$8)</f>
        <v>0</v>
      </c>
      <c r="AE94" s="108"/>
      <c r="AF94" s="86">
        <f t="shared" si="22"/>
        <v>81</v>
      </c>
      <c r="AG94" s="105">
        <f>(IF(AF94&lt;('1 Reclamation and O&amp;M costs'!$O$23-'1 Reclamation and O&amp;M costs'!$O$22),'2 Sampling Cost'!$O$13,IF(AF94&lt;'1 Reclamation and O&amp;M costs'!$O$24,'2 Sampling Cost'!$O$14,'2 Sampling Cost'!$O$15)))*(1+$S$8)</f>
        <v>3594.3250000000003</v>
      </c>
      <c r="AH94" s="106"/>
      <c r="AI94" s="105">
        <f t="shared" si="23"/>
        <v>3594.3250000000003</v>
      </c>
      <c r="AJ94" s="106"/>
    </row>
    <row r="95" spans="2:36" x14ac:dyDescent="0.25">
      <c r="B95" s="365">
        <f t="shared" si="13"/>
        <v>83</v>
      </c>
      <c r="C95" s="354">
        <f t="shared" si="15"/>
        <v>0</v>
      </c>
      <c r="D95" s="354">
        <f t="shared" si="16"/>
        <v>0</v>
      </c>
      <c r="E95" s="354">
        <f t="shared" si="17"/>
        <v>3594.3250000000003</v>
      </c>
      <c r="F95" s="354">
        <f t="shared" si="18"/>
        <v>3594.3250000000003</v>
      </c>
      <c r="M95" s="86">
        <f t="shared" si="14"/>
        <v>82</v>
      </c>
      <c r="N95" s="105">
        <f>SUMIF('1 Reclamation and O&amp;M costs'!$N$28:$N$37,M95,'1 Reclamation and O&amp;M costs'!$P$28:$P$37)*($S$7+1)</f>
        <v>0</v>
      </c>
      <c r="O95" s="106">
        <f>SUMIF('1 Reclamation and O&amp;M costs'!$M$28:$M$37,"&gt;="&amp;M95,'1 Reclamation and O&amp;M costs'!$R$28:$R$37)*($S$8+1)</f>
        <v>0</v>
      </c>
      <c r="P95" s="86"/>
      <c r="Q95" s="86">
        <f t="shared" si="19"/>
        <v>82</v>
      </c>
      <c r="R95" s="105">
        <f>SUMIF('1 Reclamation and O&amp;M costs'!$J$45:$J$60,'3 WM cash flow'!Q95,'1 Reclamation and O&amp;M costs'!$P$70:$P$85)*(1+$S$8)</f>
        <v>0</v>
      </c>
      <c r="S95" s="106">
        <f>SUMIF('1 Reclamation and O&amp;M costs'!$I$45:$I$60,'3 WM cash flow'!Q95,'1 Reclamation and O&amp;M costs'!$S$70:$S$85)*(1+$S$7)</f>
        <v>0</v>
      </c>
      <c r="T95" s="105">
        <f>(IF('3 WM cash flow'!Q95&lt;=('1 Reclamation and O&amp;M costs'!$O$23-'1 Reclamation and O&amp;M costs'!$O$22),0,SUMIF('1 Reclamation and O&amp;M costs'!$I$45:$I$60,"&gt;="&amp;'3 WM cash flow'!Q95,'1 Reclamation and O&amp;M costs'!$N$70:$N$85))+IF('3 WM cash flow'!Q95&lt;=('1 Reclamation and O&amp;M costs'!$O$23-'1 Reclamation and O&amp;M costs'!$O$22),'1 Reclamation and O&amp;M costs'!$I$89,0))*(1+$S$8)</f>
        <v>0</v>
      </c>
      <c r="U95" s="106">
        <f>SUMIF('1 Reclamation and O&amp;M costs'!$I$45:$I$60,"&gt;="&amp;Q95,'1 Reclamation and O&amp;M costs'!$Q$70:$Q$85)*(1+$S$8)</f>
        <v>0</v>
      </c>
      <c r="V95" s="86"/>
      <c r="W95" s="86">
        <f t="shared" si="20"/>
        <v>82</v>
      </c>
      <c r="X95" s="105">
        <f>SUMIF('1 Reclamation and O&amp;M costs'!$L$95:$L$112,'3 WM cash flow'!W95,'1 Reclamation and O&amp;M costs'!P$112:$P175)*(1+$S$7)</f>
        <v>0</v>
      </c>
      <c r="Y95" s="106">
        <f>SUMIF('1 Reclamation and O&amp;M costs'!$K$95:$K$112,'3 WM cash flow'!W95,'1 Reclamation and O&amp;M costs'!$T$95:$T$112)*(1+$S$7)</f>
        <v>0</v>
      </c>
      <c r="Z95" s="105">
        <f>SUMIF('1 Reclamation and O&amp;M costs'!$K$95:$K$112,"&gt;="&amp;M95,'1 Reclamation and O&amp;M costs'!$R$95:$R$112)*(1+$S$8)</f>
        <v>0</v>
      </c>
      <c r="AA95" s="106"/>
      <c r="AB95" s="86">
        <f t="shared" si="21"/>
        <v>82</v>
      </c>
      <c r="AC95" s="105">
        <f>SUMIF('1 Reclamation and O&amp;M costs'!$H$122:$H$132,'3 WM cash flow'!AB95,'1 Reclamation and O&amp;M costs'!$Q$122:$Q$132)*(1+$S$7)</f>
        <v>0</v>
      </c>
      <c r="AD95" s="106">
        <f>SUMIF('1 Reclamation and O&amp;M costs'!$H$122:$H$132,"&gt;="&amp;AB95,'1 Reclamation and O&amp;M costs'!$O$122:$O$132)*(1+$S$8)</f>
        <v>0</v>
      </c>
      <c r="AE95" s="108"/>
      <c r="AF95" s="86">
        <f t="shared" si="22"/>
        <v>82</v>
      </c>
      <c r="AG95" s="105">
        <f>(IF(AF95&lt;('1 Reclamation and O&amp;M costs'!$O$23-'1 Reclamation and O&amp;M costs'!$O$22),'2 Sampling Cost'!$O$13,IF(AF95&lt;'1 Reclamation and O&amp;M costs'!$O$24,'2 Sampling Cost'!$O$14,'2 Sampling Cost'!$O$15)))*(1+$S$8)</f>
        <v>3594.3250000000003</v>
      </c>
      <c r="AH95" s="106"/>
      <c r="AI95" s="105">
        <f t="shared" si="23"/>
        <v>3594.3250000000003</v>
      </c>
      <c r="AJ95" s="106"/>
    </row>
    <row r="96" spans="2:36" x14ac:dyDescent="0.25">
      <c r="B96" s="365">
        <f t="shared" si="13"/>
        <v>84</v>
      </c>
      <c r="C96" s="354">
        <f t="shared" si="15"/>
        <v>0</v>
      </c>
      <c r="D96" s="354">
        <f t="shared" si="16"/>
        <v>0</v>
      </c>
      <c r="E96" s="354">
        <f t="shared" si="17"/>
        <v>3594.3250000000003</v>
      </c>
      <c r="F96" s="354">
        <f t="shared" si="18"/>
        <v>3594.3250000000003</v>
      </c>
      <c r="M96" s="86">
        <f t="shared" si="14"/>
        <v>83</v>
      </c>
      <c r="N96" s="105">
        <f>SUMIF('1 Reclamation and O&amp;M costs'!$N$28:$N$37,M96,'1 Reclamation and O&amp;M costs'!$P$28:$P$37)*($S$7+1)</f>
        <v>0</v>
      </c>
      <c r="O96" s="106">
        <f>SUMIF('1 Reclamation and O&amp;M costs'!$M$28:$M$37,"&gt;="&amp;M96,'1 Reclamation and O&amp;M costs'!$R$28:$R$37)*($S$8+1)</f>
        <v>0</v>
      </c>
      <c r="P96" s="86"/>
      <c r="Q96" s="86">
        <f t="shared" si="19"/>
        <v>83</v>
      </c>
      <c r="R96" s="105">
        <f>SUMIF('1 Reclamation and O&amp;M costs'!$J$45:$J$60,'3 WM cash flow'!Q96,'1 Reclamation and O&amp;M costs'!$P$70:$P$85)*(1+$S$8)</f>
        <v>0</v>
      </c>
      <c r="S96" s="106">
        <f>SUMIF('1 Reclamation and O&amp;M costs'!$I$45:$I$60,'3 WM cash flow'!Q96,'1 Reclamation and O&amp;M costs'!$S$70:$S$85)*(1+$S$7)</f>
        <v>0</v>
      </c>
      <c r="T96" s="105">
        <f>(IF('3 WM cash flow'!Q96&lt;=('1 Reclamation and O&amp;M costs'!$O$23-'1 Reclamation and O&amp;M costs'!$O$22),0,SUMIF('1 Reclamation and O&amp;M costs'!$I$45:$I$60,"&gt;="&amp;'3 WM cash flow'!Q96,'1 Reclamation and O&amp;M costs'!$N$70:$N$85))+IF('3 WM cash flow'!Q96&lt;=('1 Reclamation and O&amp;M costs'!$O$23-'1 Reclamation and O&amp;M costs'!$O$22),'1 Reclamation and O&amp;M costs'!$I$89,0))*(1+$S$8)</f>
        <v>0</v>
      </c>
      <c r="U96" s="106">
        <f>SUMIF('1 Reclamation and O&amp;M costs'!$I$45:$I$60,"&gt;="&amp;Q96,'1 Reclamation and O&amp;M costs'!$Q$70:$Q$85)*(1+$S$8)</f>
        <v>0</v>
      </c>
      <c r="V96" s="86"/>
      <c r="W96" s="86">
        <f t="shared" si="20"/>
        <v>83</v>
      </c>
      <c r="X96" s="105">
        <f>SUMIF('1 Reclamation and O&amp;M costs'!$L$95:$L$112,'3 WM cash flow'!W96,'1 Reclamation and O&amp;M costs'!P$112:$P176)*(1+$S$7)</f>
        <v>0</v>
      </c>
      <c r="Y96" s="106">
        <f>SUMIF('1 Reclamation and O&amp;M costs'!$K$95:$K$112,'3 WM cash flow'!W96,'1 Reclamation and O&amp;M costs'!$T$95:$T$112)*(1+$S$7)</f>
        <v>0</v>
      </c>
      <c r="Z96" s="105">
        <f>SUMIF('1 Reclamation and O&amp;M costs'!$K$95:$K$112,"&gt;="&amp;M96,'1 Reclamation and O&amp;M costs'!$R$95:$R$112)*(1+$S$8)</f>
        <v>0</v>
      </c>
      <c r="AA96" s="106"/>
      <c r="AB96" s="86">
        <f t="shared" si="21"/>
        <v>83</v>
      </c>
      <c r="AC96" s="105">
        <f>SUMIF('1 Reclamation and O&amp;M costs'!$H$122:$H$132,'3 WM cash flow'!AB96,'1 Reclamation and O&amp;M costs'!$Q$122:$Q$132)*(1+$S$7)</f>
        <v>0</v>
      </c>
      <c r="AD96" s="106">
        <f>SUMIF('1 Reclamation and O&amp;M costs'!$H$122:$H$132,"&gt;="&amp;AB96,'1 Reclamation and O&amp;M costs'!$O$122:$O$132)*(1+$S$8)</f>
        <v>0</v>
      </c>
      <c r="AE96" s="108"/>
      <c r="AF96" s="86">
        <f t="shared" si="22"/>
        <v>83</v>
      </c>
      <c r="AG96" s="105">
        <f>(IF(AF96&lt;('1 Reclamation and O&amp;M costs'!$O$23-'1 Reclamation and O&amp;M costs'!$O$22),'2 Sampling Cost'!$O$13,IF(AF96&lt;'1 Reclamation and O&amp;M costs'!$O$24,'2 Sampling Cost'!$O$14,'2 Sampling Cost'!$O$15)))*(1+$S$8)</f>
        <v>3594.3250000000003</v>
      </c>
      <c r="AH96" s="106"/>
      <c r="AI96" s="105">
        <f t="shared" si="23"/>
        <v>3594.3250000000003</v>
      </c>
      <c r="AJ96" s="106"/>
    </row>
    <row r="97" spans="2:36" x14ac:dyDescent="0.25">
      <c r="B97" s="365">
        <f t="shared" si="13"/>
        <v>85</v>
      </c>
      <c r="C97" s="354">
        <f t="shared" si="15"/>
        <v>0</v>
      </c>
      <c r="D97" s="354">
        <f t="shared" si="16"/>
        <v>0</v>
      </c>
      <c r="E97" s="354">
        <f t="shared" si="17"/>
        <v>3594.3250000000003</v>
      </c>
      <c r="F97" s="354">
        <f t="shared" si="18"/>
        <v>3594.3250000000003</v>
      </c>
      <c r="M97" s="86">
        <f t="shared" si="14"/>
        <v>84</v>
      </c>
      <c r="N97" s="105">
        <f>SUMIF('1 Reclamation and O&amp;M costs'!$N$28:$N$37,M97,'1 Reclamation and O&amp;M costs'!$P$28:$P$37)*($S$7+1)</f>
        <v>0</v>
      </c>
      <c r="O97" s="106">
        <f>SUMIF('1 Reclamation and O&amp;M costs'!$M$28:$M$37,"&gt;="&amp;M97,'1 Reclamation and O&amp;M costs'!$R$28:$R$37)*($S$8+1)</f>
        <v>0</v>
      </c>
      <c r="P97" s="86"/>
      <c r="Q97" s="86">
        <f t="shared" si="19"/>
        <v>84</v>
      </c>
      <c r="R97" s="105">
        <f>SUMIF('1 Reclamation and O&amp;M costs'!$J$45:$J$60,'3 WM cash flow'!Q97,'1 Reclamation and O&amp;M costs'!$P$70:$P$85)*(1+$S$8)</f>
        <v>0</v>
      </c>
      <c r="S97" s="106">
        <f>SUMIF('1 Reclamation and O&amp;M costs'!$I$45:$I$60,'3 WM cash flow'!Q97,'1 Reclamation and O&amp;M costs'!$S$70:$S$85)*(1+$S$7)</f>
        <v>0</v>
      </c>
      <c r="T97" s="105">
        <f>(IF('3 WM cash flow'!Q97&lt;=('1 Reclamation and O&amp;M costs'!$O$23-'1 Reclamation and O&amp;M costs'!$O$22),0,SUMIF('1 Reclamation and O&amp;M costs'!$I$45:$I$60,"&gt;="&amp;'3 WM cash flow'!Q97,'1 Reclamation and O&amp;M costs'!$N$70:$N$85))+IF('3 WM cash flow'!Q97&lt;=('1 Reclamation and O&amp;M costs'!$O$23-'1 Reclamation and O&amp;M costs'!$O$22),'1 Reclamation and O&amp;M costs'!$I$89,0))*(1+$S$8)</f>
        <v>0</v>
      </c>
      <c r="U97" s="106">
        <f>SUMIF('1 Reclamation and O&amp;M costs'!$I$45:$I$60,"&gt;="&amp;Q97,'1 Reclamation and O&amp;M costs'!$Q$70:$Q$85)*(1+$S$8)</f>
        <v>0</v>
      </c>
      <c r="V97" s="86"/>
      <c r="W97" s="86">
        <f t="shared" si="20"/>
        <v>84</v>
      </c>
      <c r="X97" s="105">
        <f>SUMIF('1 Reclamation and O&amp;M costs'!$L$95:$L$112,'3 WM cash flow'!W97,'1 Reclamation and O&amp;M costs'!P$112:$P177)*(1+$S$7)</f>
        <v>0</v>
      </c>
      <c r="Y97" s="106">
        <f>SUMIF('1 Reclamation and O&amp;M costs'!$K$95:$K$112,'3 WM cash flow'!W97,'1 Reclamation and O&amp;M costs'!$T$95:$T$112)*(1+$S$7)</f>
        <v>0</v>
      </c>
      <c r="Z97" s="105">
        <f>SUMIF('1 Reclamation and O&amp;M costs'!$K$95:$K$112,"&gt;="&amp;M97,'1 Reclamation and O&amp;M costs'!$R$95:$R$112)*(1+$S$8)</f>
        <v>0</v>
      </c>
      <c r="AA97" s="106"/>
      <c r="AB97" s="86">
        <f t="shared" si="21"/>
        <v>84</v>
      </c>
      <c r="AC97" s="105">
        <f>SUMIF('1 Reclamation and O&amp;M costs'!$H$122:$H$132,'3 WM cash flow'!AB97,'1 Reclamation and O&amp;M costs'!$Q$122:$Q$132)*(1+$S$7)</f>
        <v>0</v>
      </c>
      <c r="AD97" s="106">
        <f>SUMIF('1 Reclamation and O&amp;M costs'!$H$122:$H$132,"&gt;="&amp;AB97,'1 Reclamation and O&amp;M costs'!$O$122:$O$132)*(1+$S$8)</f>
        <v>0</v>
      </c>
      <c r="AE97" s="108"/>
      <c r="AF97" s="86">
        <f t="shared" si="22"/>
        <v>84</v>
      </c>
      <c r="AG97" s="105">
        <f>(IF(AF97&lt;('1 Reclamation and O&amp;M costs'!$O$23-'1 Reclamation and O&amp;M costs'!$O$22),'2 Sampling Cost'!$O$13,IF(AF97&lt;'1 Reclamation and O&amp;M costs'!$O$24,'2 Sampling Cost'!$O$14,'2 Sampling Cost'!$O$15)))*(1+$S$8)</f>
        <v>3594.3250000000003</v>
      </c>
      <c r="AH97" s="106"/>
      <c r="AI97" s="105">
        <f t="shared" si="23"/>
        <v>3594.3250000000003</v>
      </c>
      <c r="AJ97" s="106"/>
    </row>
    <row r="98" spans="2:36" x14ac:dyDescent="0.25">
      <c r="B98" s="365">
        <f t="shared" si="13"/>
        <v>86</v>
      </c>
      <c r="C98" s="354">
        <f t="shared" si="15"/>
        <v>0</v>
      </c>
      <c r="D98" s="354">
        <f t="shared" si="16"/>
        <v>0</v>
      </c>
      <c r="E98" s="354">
        <f t="shared" si="17"/>
        <v>3594.3250000000003</v>
      </c>
      <c r="F98" s="354">
        <f t="shared" si="18"/>
        <v>3594.3250000000003</v>
      </c>
      <c r="M98" s="86">
        <f t="shared" si="14"/>
        <v>85</v>
      </c>
      <c r="N98" s="105">
        <f>SUMIF('1 Reclamation and O&amp;M costs'!$N$28:$N$37,M98,'1 Reclamation and O&amp;M costs'!$P$28:$P$37)*($S$7+1)</f>
        <v>0</v>
      </c>
      <c r="O98" s="106">
        <f>SUMIF('1 Reclamation and O&amp;M costs'!$M$28:$M$37,"&gt;="&amp;M98,'1 Reclamation and O&amp;M costs'!$R$28:$R$37)*($S$8+1)</f>
        <v>0</v>
      </c>
      <c r="P98" s="86"/>
      <c r="Q98" s="86">
        <f t="shared" si="19"/>
        <v>85</v>
      </c>
      <c r="R98" s="105">
        <f>SUMIF('1 Reclamation and O&amp;M costs'!$J$45:$J$60,'3 WM cash flow'!Q98,'1 Reclamation and O&amp;M costs'!$P$70:$P$85)*(1+$S$8)</f>
        <v>0</v>
      </c>
      <c r="S98" s="106">
        <f>SUMIF('1 Reclamation and O&amp;M costs'!$I$45:$I$60,'3 WM cash flow'!Q98,'1 Reclamation and O&amp;M costs'!$S$70:$S$85)*(1+$S$7)</f>
        <v>0</v>
      </c>
      <c r="T98" s="105">
        <f>(IF('3 WM cash flow'!Q98&lt;=('1 Reclamation and O&amp;M costs'!$O$23-'1 Reclamation and O&amp;M costs'!$O$22),0,SUMIF('1 Reclamation and O&amp;M costs'!$I$45:$I$60,"&gt;="&amp;'3 WM cash flow'!Q98,'1 Reclamation and O&amp;M costs'!$N$70:$N$85))+IF('3 WM cash flow'!Q98&lt;=('1 Reclamation and O&amp;M costs'!$O$23-'1 Reclamation and O&amp;M costs'!$O$22),'1 Reclamation and O&amp;M costs'!$I$89,0))*(1+$S$8)</f>
        <v>0</v>
      </c>
      <c r="U98" s="106">
        <f>SUMIF('1 Reclamation and O&amp;M costs'!$I$45:$I$60,"&gt;="&amp;Q98,'1 Reclamation and O&amp;M costs'!$Q$70:$Q$85)*(1+$S$8)</f>
        <v>0</v>
      </c>
      <c r="V98" s="86"/>
      <c r="W98" s="86">
        <f t="shared" si="20"/>
        <v>85</v>
      </c>
      <c r="X98" s="105">
        <f>SUMIF('1 Reclamation and O&amp;M costs'!$L$95:$L$112,'3 WM cash flow'!W98,'1 Reclamation and O&amp;M costs'!P$112:$P178)*(1+$S$7)</f>
        <v>0</v>
      </c>
      <c r="Y98" s="106">
        <f>SUMIF('1 Reclamation and O&amp;M costs'!$K$95:$K$112,'3 WM cash flow'!W98,'1 Reclamation and O&amp;M costs'!$T$95:$T$112)*(1+$S$7)</f>
        <v>0</v>
      </c>
      <c r="Z98" s="105">
        <f>SUMIF('1 Reclamation and O&amp;M costs'!$K$95:$K$112,"&gt;="&amp;M98,'1 Reclamation and O&amp;M costs'!$R$95:$R$112)*(1+$S$8)</f>
        <v>0</v>
      </c>
      <c r="AA98" s="106"/>
      <c r="AB98" s="86">
        <f t="shared" si="21"/>
        <v>85</v>
      </c>
      <c r="AC98" s="105">
        <f>SUMIF('1 Reclamation and O&amp;M costs'!$H$122:$H$132,'3 WM cash flow'!AB98,'1 Reclamation and O&amp;M costs'!$Q$122:$Q$132)*(1+$S$7)</f>
        <v>0</v>
      </c>
      <c r="AD98" s="106">
        <f>SUMIF('1 Reclamation and O&amp;M costs'!$H$122:$H$132,"&gt;="&amp;AB98,'1 Reclamation and O&amp;M costs'!$O$122:$O$132)*(1+$S$8)</f>
        <v>0</v>
      </c>
      <c r="AE98" s="108"/>
      <c r="AF98" s="86">
        <f t="shared" si="22"/>
        <v>85</v>
      </c>
      <c r="AG98" s="105">
        <f>(IF(AF98&lt;('1 Reclamation and O&amp;M costs'!$O$23-'1 Reclamation and O&amp;M costs'!$O$22),'2 Sampling Cost'!$O$13,IF(AF98&lt;'1 Reclamation and O&amp;M costs'!$O$24,'2 Sampling Cost'!$O$14,'2 Sampling Cost'!$O$15)))*(1+$S$8)</f>
        <v>3594.3250000000003</v>
      </c>
      <c r="AH98" s="106"/>
      <c r="AI98" s="105">
        <f t="shared" si="23"/>
        <v>3594.3250000000003</v>
      </c>
      <c r="AJ98" s="106"/>
    </row>
    <row r="99" spans="2:36" x14ac:dyDescent="0.25">
      <c r="B99" s="365">
        <f t="shared" si="13"/>
        <v>87</v>
      </c>
      <c r="C99" s="354">
        <f t="shared" si="15"/>
        <v>0</v>
      </c>
      <c r="D99" s="354">
        <f t="shared" si="16"/>
        <v>0</v>
      </c>
      <c r="E99" s="354">
        <f t="shared" si="17"/>
        <v>3594.3250000000003</v>
      </c>
      <c r="F99" s="354">
        <f t="shared" si="18"/>
        <v>3594.3250000000003</v>
      </c>
      <c r="M99" s="86">
        <f t="shared" si="14"/>
        <v>86</v>
      </c>
      <c r="N99" s="105">
        <f>SUMIF('1 Reclamation and O&amp;M costs'!$N$28:$N$37,M99,'1 Reclamation and O&amp;M costs'!$P$28:$P$37)*($S$7+1)</f>
        <v>0</v>
      </c>
      <c r="O99" s="106">
        <f>SUMIF('1 Reclamation and O&amp;M costs'!$M$28:$M$37,"&gt;="&amp;M99,'1 Reclamation and O&amp;M costs'!$R$28:$R$37)*($S$8+1)</f>
        <v>0</v>
      </c>
      <c r="P99" s="86"/>
      <c r="Q99" s="86">
        <f t="shared" si="19"/>
        <v>86</v>
      </c>
      <c r="R99" s="105">
        <f>SUMIF('1 Reclamation and O&amp;M costs'!$J$45:$J$60,'3 WM cash flow'!Q99,'1 Reclamation and O&amp;M costs'!$P$70:$P$85)*(1+$S$8)</f>
        <v>0</v>
      </c>
      <c r="S99" s="106">
        <f>SUMIF('1 Reclamation and O&amp;M costs'!$I$45:$I$60,'3 WM cash flow'!Q99,'1 Reclamation and O&amp;M costs'!$S$70:$S$85)*(1+$S$7)</f>
        <v>0</v>
      </c>
      <c r="T99" s="105">
        <f>(IF('3 WM cash flow'!Q99&lt;=('1 Reclamation and O&amp;M costs'!$O$23-'1 Reclamation and O&amp;M costs'!$O$22),0,SUMIF('1 Reclamation and O&amp;M costs'!$I$45:$I$60,"&gt;="&amp;'3 WM cash flow'!Q99,'1 Reclamation and O&amp;M costs'!$N$70:$N$85))+IF('3 WM cash flow'!Q99&lt;=('1 Reclamation and O&amp;M costs'!$O$23-'1 Reclamation and O&amp;M costs'!$O$22),'1 Reclamation and O&amp;M costs'!$I$89,0))*(1+$S$8)</f>
        <v>0</v>
      </c>
      <c r="U99" s="106">
        <f>SUMIF('1 Reclamation and O&amp;M costs'!$I$45:$I$60,"&gt;="&amp;Q99,'1 Reclamation and O&amp;M costs'!$Q$70:$Q$85)*(1+$S$8)</f>
        <v>0</v>
      </c>
      <c r="V99" s="86"/>
      <c r="W99" s="86">
        <f t="shared" si="20"/>
        <v>86</v>
      </c>
      <c r="X99" s="105">
        <f>SUMIF('1 Reclamation and O&amp;M costs'!$L$95:$L$112,'3 WM cash flow'!W99,'1 Reclamation and O&amp;M costs'!P$112:$P179)*(1+$S$7)</f>
        <v>0</v>
      </c>
      <c r="Y99" s="106">
        <f>SUMIF('1 Reclamation and O&amp;M costs'!$K$95:$K$112,'3 WM cash flow'!W99,'1 Reclamation and O&amp;M costs'!$T$95:$T$112)*(1+$S$7)</f>
        <v>0</v>
      </c>
      <c r="Z99" s="105">
        <f>SUMIF('1 Reclamation and O&amp;M costs'!$K$95:$K$112,"&gt;="&amp;M99,'1 Reclamation and O&amp;M costs'!$R$95:$R$112)*(1+$S$8)</f>
        <v>0</v>
      </c>
      <c r="AA99" s="106"/>
      <c r="AB99" s="86">
        <f t="shared" si="21"/>
        <v>86</v>
      </c>
      <c r="AC99" s="105">
        <f>SUMIF('1 Reclamation and O&amp;M costs'!$H$122:$H$132,'3 WM cash flow'!AB99,'1 Reclamation and O&amp;M costs'!$Q$122:$Q$132)*(1+$S$7)</f>
        <v>0</v>
      </c>
      <c r="AD99" s="106">
        <f>SUMIF('1 Reclamation and O&amp;M costs'!$H$122:$H$132,"&gt;="&amp;AB99,'1 Reclamation and O&amp;M costs'!$O$122:$O$132)*(1+$S$8)</f>
        <v>0</v>
      </c>
      <c r="AE99" s="108"/>
      <c r="AF99" s="86">
        <f t="shared" si="22"/>
        <v>86</v>
      </c>
      <c r="AG99" s="105">
        <f>(IF(AF99&lt;('1 Reclamation and O&amp;M costs'!$O$23-'1 Reclamation and O&amp;M costs'!$O$22),'2 Sampling Cost'!$O$13,IF(AF99&lt;'1 Reclamation and O&amp;M costs'!$O$24,'2 Sampling Cost'!$O$14,'2 Sampling Cost'!$O$15)))*(1+$S$8)</f>
        <v>3594.3250000000003</v>
      </c>
      <c r="AH99" s="106"/>
      <c r="AI99" s="105">
        <f t="shared" si="23"/>
        <v>3594.3250000000003</v>
      </c>
      <c r="AJ99" s="106"/>
    </row>
    <row r="100" spans="2:36" x14ac:dyDescent="0.25">
      <c r="B100" s="365">
        <f t="shared" si="13"/>
        <v>88</v>
      </c>
      <c r="C100" s="354">
        <f t="shared" si="15"/>
        <v>0</v>
      </c>
      <c r="D100" s="354">
        <f t="shared" si="16"/>
        <v>0</v>
      </c>
      <c r="E100" s="354">
        <f t="shared" si="17"/>
        <v>3594.3250000000003</v>
      </c>
      <c r="F100" s="354">
        <f t="shared" si="18"/>
        <v>3594.3250000000003</v>
      </c>
      <c r="M100" s="86">
        <f t="shared" si="14"/>
        <v>87</v>
      </c>
      <c r="N100" s="105">
        <f>SUMIF('1 Reclamation and O&amp;M costs'!$N$28:$N$37,M100,'1 Reclamation and O&amp;M costs'!$P$28:$P$37)*($S$7+1)</f>
        <v>0</v>
      </c>
      <c r="O100" s="106">
        <f>SUMIF('1 Reclamation and O&amp;M costs'!$M$28:$M$37,"&gt;="&amp;M100,'1 Reclamation and O&amp;M costs'!$R$28:$R$37)*($S$8+1)</f>
        <v>0</v>
      </c>
      <c r="P100" s="86"/>
      <c r="Q100" s="86">
        <f t="shared" si="19"/>
        <v>87</v>
      </c>
      <c r="R100" s="105">
        <f>SUMIF('1 Reclamation and O&amp;M costs'!$J$45:$J$60,'3 WM cash flow'!Q100,'1 Reclamation and O&amp;M costs'!$P$70:$P$85)*(1+$S$8)</f>
        <v>0</v>
      </c>
      <c r="S100" s="106">
        <f>SUMIF('1 Reclamation and O&amp;M costs'!$I$45:$I$60,'3 WM cash flow'!Q100,'1 Reclamation and O&amp;M costs'!$S$70:$S$85)*(1+$S$7)</f>
        <v>0</v>
      </c>
      <c r="T100" s="105">
        <f>(IF('3 WM cash flow'!Q100&lt;=('1 Reclamation and O&amp;M costs'!$O$23-'1 Reclamation and O&amp;M costs'!$O$22),0,SUMIF('1 Reclamation and O&amp;M costs'!$I$45:$I$60,"&gt;="&amp;'3 WM cash flow'!Q100,'1 Reclamation and O&amp;M costs'!$N$70:$N$85))+IF('3 WM cash flow'!Q100&lt;=('1 Reclamation and O&amp;M costs'!$O$23-'1 Reclamation and O&amp;M costs'!$O$22),'1 Reclamation and O&amp;M costs'!$I$89,0))*(1+$S$8)</f>
        <v>0</v>
      </c>
      <c r="U100" s="106">
        <f>SUMIF('1 Reclamation and O&amp;M costs'!$I$45:$I$60,"&gt;="&amp;Q100,'1 Reclamation and O&amp;M costs'!$Q$70:$Q$85)*(1+$S$8)</f>
        <v>0</v>
      </c>
      <c r="V100" s="86"/>
      <c r="W100" s="86">
        <f t="shared" si="20"/>
        <v>87</v>
      </c>
      <c r="X100" s="105">
        <f>SUMIF('1 Reclamation and O&amp;M costs'!$L$95:$L$112,'3 WM cash flow'!W100,'1 Reclamation and O&amp;M costs'!P$112:$P180)*(1+$S$7)</f>
        <v>0</v>
      </c>
      <c r="Y100" s="106">
        <f>SUMIF('1 Reclamation and O&amp;M costs'!$K$95:$K$112,'3 WM cash flow'!W100,'1 Reclamation and O&amp;M costs'!$T$95:$T$112)*(1+$S$7)</f>
        <v>0</v>
      </c>
      <c r="Z100" s="105">
        <f>SUMIF('1 Reclamation and O&amp;M costs'!$K$95:$K$112,"&gt;="&amp;M100,'1 Reclamation and O&amp;M costs'!$R$95:$R$112)*(1+$S$8)</f>
        <v>0</v>
      </c>
      <c r="AA100" s="106"/>
      <c r="AB100" s="86">
        <f t="shared" si="21"/>
        <v>87</v>
      </c>
      <c r="AC100" s="105">
        <f>SUMIF('1 Reclamation and O&amp;M costs'!$H$122:$H$132,'3 WM cash flow'!AB100,'1 Reclamation and O&amp;M costs'!$Q$122:$Q$132)*(1+$S$7)</f>
        <v>0</v>
      </c>
      <c r="AD100" s="106">
        <f>SUMIF('1 Reclamation and O&amp;M costs'!$H$122:$H$132,"&gt;="&amp;AB100,'1 Reclamation and O&amp;M costs'!$O$122:$O$132)*(1+$S$8)</f>
        <v>0</v>
      </c>
      <c r="AE100" s="108"/>
      <c r="AF100" s="86">
        <f t="shared" si="22"/>
        <v>87</v>
      </c>
      <c r="AG100" s="105">
        <f>(IF(AF100&lt;('1 Reclamation and O&amp;M costs'!$O$23-'1 Reclamation and O&amp;M costs'!$O$22),'2 Sampling Cost'!$O$13,IF(AF100&lt;'1 Reclamation and O&amp;M costs'!$O$24,'2 Sampling Cost'!$O$14,'2 Sampling Cost'!$O$15)))*(1+$S$8)</f>
        <v>3594.3250000000003</v>
      </c>
      <c r="AH100" s="106"/>
      <c r="AI100" s="105">
        <f t="shared" si="23"/>
        <v>3594.3250000000003</v>
      </c>
      <c r="AJ100" s="106"/>
    </row>
    <row r="101" spans="2:36" x14ac:dyDescent="0.25">
      <c r="B101" s="365">
        <f t="shared" si="13"/>
        <v>89</v>
      </c>
      <c r="C101" s="354">
        <f t="shared" si="15"/>
        <v>0</v>
      </c>
      <c r="D101" s="354">
        <f t="shared" si="16"/>
        <v>0</v>
      </c>
      <c r="E101" s="354">
        <f t="shared" si="17"/>
        <v>3594.3250000000003</v>
      </c>
      <c r="F101" s="354">
        <f t="shared" si="18"/>
        <v>3594.3250000000003</v>
      </c>
      <c r="M101" s="86">
        <f t="shared" si="14"/>
        <v>88</v>
      </c>
      <c r="N101" s="105">
        <f>SUMIF('1 Reclamation and O&amp;M costs'!$N$28:$N$37,M101,'1 Reclamation and O&amp;M costs'!$P$28:$P$37)*($S$7+1)</f>
        <v>0</v>
      </c>
      <c r="O101" s="106">
        <f>SUMIF('1 Reclamation and O&amp;M costs'!$M$28:$M$37,"&gt;="&amp;M101,'1 Reclamation and O&amp;M costs'!$R$28:$R$37)*($S$8+1)</f>
        <v>0</v>
      </c>
      <c r="P101" s="86"/>
      <c r="Q101" s="86">
        <f t="shared" si="19"/>
        <v>88</v>
      </c>
      <c r="R101" s="105">
        <f>SUMIF('1 Reclamation and O&amp;M costs'!$J$45:$J$60,'3 WM cash flow'!Q101,'1 Reclamation and O&amp;M costs'!$P$70:$P$85)*(1+$S$8)</f>
        <v>0</v>
      </c>
      <c r="S101" s="106">
        <f>SUMIF('1 Reclamation and O&amp;M costs'!$I$45:$I$60,'3 WM cash flow'!Q101,'1 Reclamation and O&amp;M costs'!$S$70:$S$85)*(1+$S$7)</f>
        <v>0</v>
      </c>
      <c r="T101" s="105">
        <f>(IF('3 WM cash flow'!Q101&lt;=('1 Reclamation and O&amp;M costs'!$O$23-'1 Reclamation and O&amp;M costs'!$O$22),0,SUMIF('1 Reclamation and O&amp;M costs'!$I$45:$I$60,"&gt;="&amp;'3 WM cash flow'!Q101,'1 Reclamation and O&amp;M costs'!$N$70:$N$85))+IF('3 WM cash flow'!Q101&lt;=('1 Reclamation and O&amp;M costs'!$O$23-'1 Reclamation and O&amp;M costs'!$O$22),'1 Reclamation and O&amp;M costs'!$I$89,0))*(1+$S$8)</f>
        <v>0</v>
      </c>
      <c r="U101" s="106">
        <f>SUMIF('1 Reclamation and O&amp;M costs'!$I$45:$I$60,"&gt;="&amp;Q101,'1 Reclamation and O&amp;M costs'!$Q$70:$Q$85)*(1+$S$8)</f>
        <v>0</v>
      </c>
      <c r="V101" s="86"/>
      <c r="W101" s="86">
        <f t="shared" si="20"/>
        <v>88</v>
      </c>
      <c r="X101" s="105">
        <f>SUMIF('1 Reclamation and O&amp;M costs'!$L$95:$L$112,'3 WM cash flow'!W101,'1 Reclamation and O&amp;M costs'!P$112:$P181)*(1+$S$7)</f>
        <v>0</v>
      </c>
      <c r="Y101" s="106">
        <f>SUMIF('1 Reclamation and O&amp;M costs'!$K$95:$K$112,'3 WM cash flow'!W101,'1 Reclamation and O&amp;M costs'!$T$95:$T$112)*(1+$S$7)</f>
        <v>0</v>
      </c>
      <c r="Z101" s="105">
        <f>SUMIF('1 Reclamation and O&amp;M costs'!$K$95:$K$112,"&gt;="&amp;M101,'1 Reclamation and O&amp;M costs'!$R$95:$R$112)*(1+$S$8)</f>
        <v>0</v>
      </c>
      <c r="AA101" s="106"/>
      <c r="AB101" s="86">
        <f t="shared" si="21"/>
        <v>88</v>
      </c>
      <c r="AC101" s="105">
        <f>SUMIF('1 Reclamation and O&amp;M costs'!$H$122:$H$132,'3 WM cash flow'!AB101,'1 Reclamation and O&amp;M costs'!$Q$122:$Q$132)*(1+$S$7)</f>
        <v>0</v>
      </c>
      <c r="AD101" s="106">
        <f>SUMIF('1 Reclamation and O&amp;M costs'!$H$122:$H$132,"&gt;="&amp;AB101,'1 Reclamation and O&amp;M costs'!$O$122:$O$132)*(1+$S$8)</f>
        <v>0</v>
      </c>
      <c r="AE101" s="108"/>
      <c r="AF101" s="86">
        <f t="shared" si="22"/>
        <v>88</v>
      </c>
      <c r="AG101" s="105">
        <f>(IF(AF101&lt;('1 Reclamation and O&amp;M costs'!$O$23-'1 Reclamation and O&amp;M costs'!$O$22),'2 Sampling Cost'!$O$13,IF(AF101&lt;'1 Reclamation and O&amp;M costs'!$O$24,'2 Sampling Cost'!$O$14,'2 Sampling Cost'!$O$15)))*(1+$S$8)</f>
        <v>3594.3250000000003</v>
      </c>
      <c r="AH101" s="106"/>
      <c r="AI101" s="105">
        <f t="shared" si="23"/>
        <v>3594.3250000000003</v>
      </c>
      <c r="AJ101" s="106"/>
    </row>
    <row r="102" spans="2:36" x14ac:dyDescent="0.25">
      <c r="B102" s="365">
        <f t="shared" si="13"/>
        <v>90</v>
      </c>
      <c r="C102" s="354">
        <f t="shared" si="15"/>
        <v>0</v>
      </c>
      <c r="D102" s="354">
        <f t="shared" si="16"/>
        <v>0</v>
      </c>
      <c r="E102" s="354">
        <f t="shared" si="17"/>
        <v>3594.3250000000003</v>
      </c>
      <c r="F102" s="354">
        <f t="shared" si="18"/>
        <v>3594.3250000000003</v>
      </c>
      <c r="M102" s="86">
        <f t="shared" si="14"/>
        <v>89</v>
      </c>
      <c r="N102" s="105">
        <f>SUMIF('1 Reclamation and O&amp;M costs'!$N$28:$N$37,M102,'1 Reclamation and O&amp;M costs'!$P$28:$P$37)*($S$7+1)</f>
        <v>0</v>
      </c>
      <c r="O102" s="106">
        <f>SUMIF('1 Reclamation and O&amp;M costs'!$M$28:$M$37,"&gt;="&amp;M102,'1 Reclamation and O&amp;M costs'!$R$28:$R$37)*($S$8+1)</f>
        <v>0</v>
      </c>
      <c r="P102" s="86"/>
      <c r="Q102" s="86">
        <f t="shared" si="19"/>
        <v>89</v>
      </c>
      <c r="R102" s="105">
        <f>SUMIF('1 Reclamation and O&amp;M costs'!$J$45:$J$60,'3 WM cash flow'!Q102,'1 Reclamation and O&amp;M costs'!$P$70:$P$85)*(1+$S$8)</f>
        <v>0</v>
      </c>
      <c r="S102" s="106">
        <f>SUMIF('1 Reclamation and O&amp;M costs'!$I$45:$I$60,'3 WM cash flow'!Q102,'1 Reclamation and O&amp;M costs'!$S$70:$S$85)*(1+$S$7)</f>
        <v>0</v>
      </c>
      <c r="T102" s="105">
        <f>(IF('3 WM cash flow'!Q102&lt;=('1 Reclamation and O&amp;M costs'!$O$23-'1 Reclamation and O&amp;M costs'!$O$22),0,SUMIF('1 Reclamation and O&amp;M costs'!$I$45:$I$60,"&gt;="&amp;'3 WM cash flow'!Q102,'1 Reclamation and O&amp;M costs'!$N$70:$N$85))+IF('3 WM cash flow'!Q102&lt;=('1 Reclamation and O&amp;M costs'!$O$23-'1 Reclamation and O&amp;M costs'!$O$22),'1 Reclamation and O&amp;M costs'!$I$89,0))*(1+$S$8)</f>
        <v>0</v>
      </c>
      <c r="U102" s="106">
        <f>SUMIF('1 Reclamation and O&amp;M costs'!$I$45:$I$60,"&gt;="&amp;Q102,'1 Reclamation and O&amp;M costs'!$Q$70:$Q$85)*(1+$S$8)</f>
        <v>0</v>
      </c>
      <c r="V102" s="86"/>
      <c r="W102" s="86">
        <f t="shared" si="20"/>
        <v>89</v>
      </c>
      <c r="X102" s="105">
        <f>SUMIF('1 Reclamation and O&amp;M costs'!$L$95:$L$112,'3 WM cash flow'!W102,'1 Reclamation and O&amp;M costs'!P$112:$P182)*(1+$S$7)</f>
        <v>0</v>
      </c>
      <c r="Y102" s="106">
        <f>SUMIF('1 Reclamation and O&amp;M costs'!$K$95:$K$112,'3 WM cash flow'!W102,'1 Reclamation and O&amp;M costs'!$T$95:$T$112)*(1+$S$7)</f>
        <v>0</v>
      </c>
      <c r="Z102" s="105">
        <f>SUMIF('1 Reclamation and O&amp;M costs'!$K$95:$K$112,"&gt;="&amp;M102,'1 Reclamation and O&amp;M costs'!$R$95:$R$112)*(1+$S$8)</f>
        <v>0</v>
      </c>
      <c r="AA102" s="106"/>
      <c r="AB102" s="86">
        <f t="shared" si="21"/>
        <v>89</v>
      </c>
      <c r="AC102" s="105">
        <f>SUMIF('1 Reclamation and O&amp;M costs'!$H$122:$H$132,'3 WM cash flow'!AB102,'1 Reclamation and O&amp;M costs'!$Q$122:$Q$132)*(1+$S$7)</f>
        <v>0</v>
      </c>
      <c r="AD102" s="106">
        <f>SUMIF('1 Reclamation and O&amp;M costs'!$H$122:$H$132,"&gt;="&amp;AB102,'1 Reclamation and O&amp;M costs'!$O$122:$O$132)*(1+$S$8)</f>
        <v>0</v>
      </c>
      <c r="AE102" s="108"/>
      <c r="AF102" s="86">
        <f t="shared" si="22"/>
        <v>89</v>
      </c>
      <c r="AG102" s="105">
        <f>(IF(AF102&lt;('1 Reclamation and O&amp;M costs'!$O$23-'1 Reclamation and O&amp;M costs'!$O$22),'2 Sampling Cost'!$O$13,IF(AF102&lt;'1 Reclamation and O&amp;M costs'!$O$24,'2 Sampling Cost'!$O$14,'2 Sampling Cost'!$O$15)))*(1+$S$8)</f>
        <v>3594.3250000000003</v>
      </c>
      <c r="AH102" s="106"/>
      <c r="AI102" s="105">
        <f t="shared" si="23"/>
        <v>3594.3250000000003</v>
      </c>
      <c r="AJ102" s="106"/>
    </row>
    <row r="103" spans="2:36" x14ac:dyDescent="0.25">
      <c r="B103" s="365">
        <f t="shared" si="13"/>
        <v>91</v>
      </c>
      <c r="C103" s="354">
        <f t="shared" si="15"/>
        <v>0</v>
      </c>
      <c r="D103" s="354">
        <f t="shared" si="16"/>
        <v>0</v>
      </c>
      <c r="E103" s="354">
        <f t="shared" si="17"/>
        <v>3594.3250000000003</v>
      </c>
      <c r="F103" s="354">
        <f t="shared" si="18"/>
        <v>3594.3250000000003</v>
      </c>
      <c r="M103" s="86">
        <f t="shared" si="14"/>
        <v>90</v>
      </c>
      <c r="N103" s="105">
        <f>SUMIF('1 Reclamation and O&amp;M costs'!$N$28:$N$37,M103,'1 Reclamation and O&amp;M costs'!$P$28:$P$37)*($S$7+1)</f>
        <v>0</v>
      </c>
      <c r="O103" s="106">
        <f>SUMIF('1 Reclamation and O&amp;M costs'!$M$28:$M$37,"&gt;="&amp;M103,'1 Reclamation and O&amp;M costs'!$R$28:$R$37)*($S$8+1)</f>
        <v>0</v>
      </c>
      <c r="P103" s="86"/>
      <c r="Q103" s="86">
        <f t="shared" si="19"/>
        <v>90</v>
      </c>
      <c r="R103" s="105">
        <f>SUMIF('1 Reclamation and O&amp;M costs'!$J$45:$J$60,'3 WM cash flow'!Q103,'1 Reclamation and O&amp;M costs'!$P$70:$P$85)*(1+$S$8)</f>
        <v>0</v>
      </c>
      <c r="S103" s="106">
        <f>SUMIF('1 Reclamation and O&amp;M costs'!$I$45:$I$60,'3 WM cash flow'!Q103,'1 Reclamation and O&amp;M costs'!$S$70:$S$85)*(1+$S$7)</f>
        <v>0</v>
      </c>
      <c r="T103" s="105">
        <f>(IF('3 WM cash flow'!Q103&lt;=('1 Reclamation and O&amp;M costs'!$O$23-'1 Reclamation and O&amp;M costs'!$O$22),0,SUMIF('1 Reclamation and O&amp;M costs'!$I$45:$I$60,"&gt;="&amp;'3 WM cash flow'!Q103,'1 Reclamation and O&amp;M costs'!$N$70:$N$85))+IF('3 WM cash flow'!Q103&lt;=('1 Reclamation and O&amp;M costs'!$O$23-'1 Reclamation and O&amp;M costs'!$O$22),'1 Reclamation and O&amp;M costs'!$I$89,0))*(1+$S$8)</f>
        <v>0</v>
      </c>
      <c r="U103" s="106">
        <f>SUMIF('1 Reclamation and O&amp;M costs'!$I$45:$I$60,"&gt;="&amp;Q103,'1 Reclamation and O&amp;M costs'!$Q$70:$Q$85)*(1+$S$8)</f>
        <v>0</v>
      </c>
      <c r="V103" s="86"/>
      <c r="W103" s="86">
        <f t="shared" si="20"/>
        <v>90</v>
      </c>
      <c r="X103" s="105">
        <f>SUMIF('1 Reclamation and O&amp;M costs'!$L$95:$L$112,'3 WM cash flow'!W103,'1 Reclamation and O&amp;M costs'!P$112:$P183)*(1+$S$7)</f>
        <v>0</v>
      </c>
      <c r="Y103" s="106">
        <f>SUMIF('1 Reclamation and O&amp;M costs'!$K$95:$K$112,'3 WM cash flow'!W103,'1 Reclamation and O&amp;M costs'!$T$95:$T$112)*(1+$S$7)</f>
        <v>0</v>
      </c>
      <c r="Z103" s="105">
        <f>SUMIF('1 Reclamation and O&amp;M costs'!$K$95:$K$112,"&gt;="&amp;M103,'1 Reclamation and O&amp;M costs'!$R$95:$R$112)*(1+$S$8)</f>
        <v>0</v>
      </c>
      <c r="AA103" s="106"/>
      <c r="AB103" s="86">
        <f t="shared" si="21"/>
        <v>90</v>
      </c>
      <c r="AC103" s="105">
        <f>SUMIF('1 Reclamation and O&amp;M costs'!$H$122:$H$132,'3 WM cash flow'!AB103,'1 Reclamation and O&amp;M costs'!$Q$122:$Q$132)*(1+$S$7)</f>
        <v>0</v>
      </c>
      <c r="AD103" s="106">
        <f>SUMIF('1 Reclamation and O&amp;M costs'!$H$122:$H$132,"&gt;="&amp;AB103,'1 Reclamation and O&amp;M costs'!$O$122:$O$132)*(1+$S$8)</f>
        <v>0</v>
      </c>
      <c r="AE103" s="108"/>
      <c r="AF103" s="86">
        <f t="shared" si="22"/>
        <v>90</v>
      </c>
      <c r="AG103" s="105">
        <f>(IF(AF103&lt;('1 Reclamation and O&amp;M costs'!$O$23-'1 Reclamation and O&amp;M costs'!$O$22),'2 Sampling Cost'!$O$13,IF(AF103&lt;'1 Reclamation and O&amp;M costs'!$O$24,'2 Sampling Cost'!$O$14,'2 Sampling Cost'!$O$15)))*(1+$S$8)</f>
        <v>3594.3250000000003</v>
      </c>
      <c r="AH103" s="106"/>
      <c r="AI103" s="105">
        <f t="shared" si="23"/>
        <v>3594.3250000000003</v>
      </c>
      <c r="AJ103" s="106"/>
    </row>
    <row r="104" spans="2:36" x14ac:dyDescent="0.25">
      <c r="B104" s="365">
        <f t="shared" si="13"/>
        <v>92</v>
      </c>
      <c r="C104" s="354">
        <f t="shared" si="15"/>
        <v>0</v>
      </c>
      <c r="D104" s="354">
        <f t="shared" si="16"/>
        <v>0</v>
      </c>
      <c r="E104" s="354">
        <f t="shared" si="17"/>
        <v>3594.3250000000003</v>
      </c>
      <c r="F104" s="354">
        <f t="shared" si="18"/>
        <v>3594.3250000000003</v>
      </c>
      <c r="M104" s="86">
        <f t="shared" si="14"/>
        <v>91</v>
      </c>
      <c r="N104" s="105">
        <f>SUMIF('1 Reclamation and O&amp;M costs'!$N$28:$N$37,M104,'1 Reclamation and O&amp;M costs'!$P$28:$P$37)*($S$7+1)</f>
        <v>0</v>
      </c>
      <c r="O104" s="106">
        <f>SUMIF('1 Reclamation and O&amp;M costs'!$M$28:$M$37,"&gt;="&amp;M104,'1 Reclamation and O&amp;M costs'!$R$28:$R$37)*($S$8+1)</f>
        <v>0</v>
      </c>
      <c r="P104" s="86"/>
      <c r="Q104" s="86">
        <f t="shared" si="19"/>
        <v>91</v>
      </c>
      <c r="R104" s="105">
        <f>SUMIF('1 Reclamation and O&amp;M costs'!$J$45:$J$60,'3 WM cash flow'!Q104,'1 Reclamation and O&amp;M costs'!$P$70:$P$85)*(1+$S$8)</f>
        <v>0</v>
      </c>
      <c r="S104" s="106">
        <f>SUMIF('1 Reclamation and O&amp;M costs'!$I$45:$I$60,'3 WM cash flow'!Q104,'1 Reclamation and O&amp;M costs'!$S$70:$S$85)*(1+$S$7)</f>
        <v>0</v>
      </c>
      <c r="T104" s="105">
        <f>(IF('3 WM cash flow'!Q104&lt;=('1 Reclamation and O&amp;M costs'!$O$23-'1 Reclamation and O&amp;M costs'!$O$22),0,SUMIF('1 Reclamation and O&amp;M costs'!$I$45:$I$60,"&gt;="&amp;'3 WM cash flow'!Q104,'1 Reclamation and O&amp;M costs'!$N$70:$N$85))+IF('3 WM cash flow'!Q104&lt;=('1 Reclamation and O&amp;M costs'!$O$23-'1 Reclamation and O&amp;M costs'!$O$22),'1 Reclamation and O&amp;M costs'!$I$89,0))*(1+$S$8)</f>
        <v>0</v>
      </c>
      <c r="U104" s="106">
        <f>SUMIF('1 Reclamation and O&amp;M costs'!$I$45:$I$60,"&gt;="&amp;Q104,'1 Reclamation and O&amp;M costs'!$Q$70:$Q$85)*(1+$S$8)</f>
        <v>0</v>
      </c>
      <c r="V104" s="86"/>
      <c r="W104" s="86">
        <f t="shared" si="20"/>
        <v>91</v>
      </c>
      <c r="X104" s="105">
        <f>SUMIF('1 Reclamation and O&amp;M costs'!$L$95:$L$112,'3 WM cash flow'!W104,'1 Reclamation and O&amp;M costs'!P$112:$P184)*(1+$S$7)</f>
        <v>0</v>
      </c>
      <c r="Y104" s="106">
        <f>SUMIF('1 Reclamation and O&amp;M costs'!$K$95:$K$112,'3 WM cash flow'!W104,'1 Reclamation and O&amp;M costs'!$T$95:$T$112)*(1+$S$7)</f>
        <v>0</v>
      </c>
      <c r="Z104" s="105">
        <f>SUMIF('1 Reclamation and O&amp;M costs'!$K$95:$K$112,"&gt;="&amp;M104,'1 Reclamation and O&amp;M costs'!$R$95:$R$112)*(1+$S$8)</f>
        <v>0</v>
      </c>
      <c r="AA104" s="106"/>
      <c r="AB104" s="86">
        <f t="shared" si="21"/>
        <v>91</v>
      </c>
      <c r="AC104" s="105">
        <f>SUMIF('1 Reclamation and O&amp;M costs'!$H$122:$H$132,'3 WM cash flow'!AB104,'1 Reclamation and O&amp;M costs'!$Q$122:$Q$132)*(1+$S$7)</f>
        <v>0</v>
      </c>
      <c r="AD104" s="106">
        <f>SUMIF('1 Reclamation and O&amp;M costs'!$H$122:$H$132,"&gt;="&amp;AB104,'1 Reclamation and O&amp;M costs'!$O$122:$O$132)*(1+$S$8)</f>
        <v>0</v>
      </c>
      <c r="AE104" s="108"/>
      <c r="AF104" s="86">
        <f t="shared" si="22"/>
        <v>91</v>
      </c>
      <c r="AG104" s="105">
        <f>(IF(AF104&lt;('1 Reclamation and O&amp;M costs'!$O$23-'1 Reclamation and O&amp;M costs'!$O$22),'2 Sampling Cost'!$O$13,IF(AF104&lt;'1 Reclamation and O&amp;M costs'!$O$24,'2 Sampling Cost'!$O$14,'2 Sampling Cost'!$O$15)))*(1+$S$8)</f>
        <v>3594.3250000000003</v>
      </c>
      <c r="AH104" s="106"/>
      <c r="AI104" s="105">
        <f t="shared" si="23"/>
        <v>3594.3250000000003</v>
      </c>
      <c r="AJ104" s="106"/>
    </row>
    <row r="105" spans="2:36" x14ac:dyDescent="0.25">
      <c r="B105" s="365">
        <f t="shared" si="13"/>
        <v>93</v>
      </c>
      <c r="C105" s="354">
        <f t="shared" si="15"/>
        <v>0</v>
      </c>
      <c r="D105" s="354">
        <f t="shared" si="16"/>
        <v>0</v>
      </c>
      <c r="E105" s="354">
        <f t="shared" si="17"/>
        <v>3594.3250000000003</v>
      </c>
      <c r="F105" s="354">
        <f t="shared" si="18"/>
        <v>3594.3250000000003</v>
      </c>
      <c r="M105" s="86">
        <f t="shared" si="14"/>
        <v>92</v>
      </c>
      <c r="N105" s="105">
        <f>SUMIF('1 Reclamation and O&amp;M costs'!$N$28:$N$37,M105,'1 Reclamation and O&amp;M costs'!$P$28:$P$37)*($S$7+1)</f>
        <v>0</v>
      </c>
      <c r="O105" s="106">
        <f>SUMIF('1 Reclamation and O&amp;M costs'!$M$28:$M$37,"&gt;="&amp;M105,'1 Reclamation and O&amp;M costs'!$R$28:$R$37)*($S$8+1)</f>
        <v>0</v>
      </c>
      <c r="P105" s="86"/>
      <c r="Q105" s="86">
        <f t="shared" si="19"/>
        <v>92</v>
      </c>
      <c r="R105" s="105">
        <f>SUMIF('1 Reclamation and O&amp;M costs'!$J$45:$J$60,'3 WM cash flow'!Q105,'1 Reclamation and O&amp;M costs'!$P$70:$P$85)*(1+$S$8)</f>
        <v>0</v>
      </c>
      <c r="S105" s="106">
        <f>SUMIF('1 Reclamation and O&amp;M costs'!$I$45:$I$60,'3 WM cash flow'!Q105,'1 Reclamation and O&amp;M costs'!$S$70:$S$85)*(1+$S$7)</f>
        <v>0</v>
      </c>
      <c r="T105" s="105">
        <f>(IF('3 WM cash flow'!Q105&lt;=('1 Reclamation and O&amp;M costs'!$O$23-'1 Reclamation and O&amp;M costs'!$O$22),0,SUMIF('1 Reclamation and O&amp;M costs'!$I$45:$I$60,"&gt;="&amp;'3 WM cash flow'!Q105,'1 Reclamation and O&amp;M costs'!$N$70:$N$85))+IF('3 WM cash flow'!Q105&lt;=('1 Reclamation and O&amp;M costs'!$O$23-'1 Reclamation and O&amp;M costs'!$O$22),'1 Reclamation and O&amp;M costs'!$I$89,0))*(1+$S$8)</f>
        <v>0</v>
      </c>
      <c r="U105" s="106">
        <f>SUMIF('1 Reclamation and O&amp;M costs'!$I$45:$I$60,"&gt;="&amp;Q105,'1 Reclamation and O&amp;M costs'!$Q$70:$Q$85)*(1+$S$8)</f>
        <v>0</v>
      </c>
      <c r="V105" s="86"/>
      <c r="W105" s="86">
        <f t="shared" si="20"/>
        <v>92</v>
      </c>
      <c r="X105" s="105">
        <f>SUMIF('1 Reclamation and O&amp;M costs'!$L$95:$L$112,'3 WM cash flow'!W105,'1 Reclamation and O&amp;M costs'!P$112:$P185)*(1+$S$7)</f>
        <v>0</v>
      </c>
      <c r="Y105" s="106">
        <f>SUMIF('1 Reclamation and O&amp;M costs'!$K$95:$K$112,'3 WM cash flow'!W105,'1 Reclamation and O&amp;M costs'!$T$95:$T$112)*(1+$S$7)</f>
        <v>0</v>
      </c>
      <c r="Z105" s="105">
        <f>SUMIF('1 Reclamation and O&amp;M costs'!$K$95:$K$112,"&gt;="&amp;M105,'1 Reclamation and O&amp;M costs'!$R$95:$R$112)*(1+$S$8)</f>
        <v>0</v>
      </c>
      <c r="AA105" s="106"/>
      <c r="AB105" s="86">
        <f t="shared" si="21"/>
        <v>92</v>
      </c>
      <c r="AC105" s="105">
        <f>SUMIF('1 Reclamation and O&amp;M costs'!$H$122:$H$132,'3 WM cash flow'!AB105,'1 Reclamation and O&amp;M costs'!$Q$122:$Q$132)*(1+$S$7)</f>
        <v>0</v>
      </c>
      <c r="AD105" s="106">
        <f>SUMIF('1 Reclamation and O&amp;M costs'!$H$122:$H$132,"&gt;="&amp;AB105,'1 Reclamation and O&amp;M costs'!$O$122:$O$132)*(1+$S$8)</f>
        <v>0</v>
      </c>
      <c r="AE105" s="108"/>
      <c r="AF105" s="86">
        <f t="shared" si="22"/>
        <v>92</v>
      </c>
      <c r="AG105" s="105">
        <f>(IF(AF105&lt;('1 Reclamation and O&amp;M costs'!$O$23-'1 Reclamation and O&amp;M costs'!$O$22),'2 Sampling Cost'!$O$13,IF(AF105&lt;'1 Reclamation and O&amp;M costs'!$O$24,'2 Sampling Cost'!$O$14,'2 Sampling Cost'!$O$15)))*(1+$S$8)</f>
        <v>3594.3250000000003</v>
      </c>
      <c r="AH105" s="106"/>
      <c r="AI105" s="105">
        <f t="shared" si="23"/>
        <v>3594.3250000000003</v>
      </c>
      <c r="AJ105" s="106"/>
    </row>
    <row r="106" spans="2:36" x14ac:dyDescent="0.25">
      <c r="B106" s="365">
        <f t="shared" si="13"/>
        <v>94</v>
      </c>
      <c r="C106" s="354">
        <f t="shared" si="15"/>
        <v>0</v>
      </c>
      <c r="D106" s="354">
        <f t="shared" si="16"/>
        <v>0</v>
      </c>
      <c r="E106" s="354">
        <f t="shared" si="17"/>
        <v>3594.3250000000003</v>
      </c>
      <c r="F106" s="354">
        <f t="shared" si="18"/>
        <v>3594.3250000000003</v>
      </c>
      <c r="M106" s="86">
        <f t="shared" si="14"/>
        <v>93</v>
      </c>
      <c r="N106" s="105">
        <f>SUMIF('1 Reclamation and O&amp;M costs'!$N$28:$N$37,M106,'1 Reclamation and O&amp;M costs'!$P$28:$P$37)*($S$7+1)</f>
        <v>0</v>
      </c>
      <c r="O106" s="106">
        <f>SUMIF('1 Reclamation and O&amp;M costs'!$M$28:$M$37,"&gt;="&amp;M106,'1 Reclamation and O&amp;M costs'!$R$28:$R$37)*($S$8+1)</f>
        <v>0</v>
      </c>
      <c r="P106" s="86"/>
      <c r="Q106" s="86">
        <f t="shared" si="19"/>
        <v>93</v>
      </c>
      <c r="R106" s="105">
        <f>SUMIF('1 Reclamation and O&amp;M costs'!$J$45:$J$60,'3 WM cash flow'!Q106,'1 Reclamation and O&amp;M costs'!$P$70:$P$85)*(1+$S$8)</f>
        <v>0</v>
      </c>
      <c r="S106" s="106">
        <f>SUMIF('1 Reclamation and O&amp;M costs'!$I$45:$I$60,'3 WM cash flow'!Q106,'1 Reclamation and O&amp;M costs'!$S$70:$S$85)*(1+$S$7)</f>
        <v>0</v>
      </c>
      <c r="T106" s="105">
        <f>(IF('3 WM cash flow'!Q106&lt;=('1 Reclamation and O&amp;M costs'!$O$23-'1 Reclamation and O&amp;M costs'!$O$22),0,SUMIF('1 Reclamation and O&amp;M costs'!$I$45:$I$60,"&gt;="&amp;'3 WM cash flow'!Q106,'1 Reclamation and O&amp;M costs'!$N$70:$N$85))+IF('3 WM cash flow'!Q106&lt;=('1 Reclamation and O&amp;M costs'!$O$23-'1 Reclamation and O&amp;M costs'!$O$22),'1 Reclamation and O&amp;M costs'!$I$89,0))*(1+$S$8)</f>
        <v>0</v>
      </c>
      <c r="U106" s="106">
        <f>SUMIF('1 Reclamation and O&amp;M costs'!$I$45:$I$60,"&gt;="&amp;Q106,'1 Reclamation and O&amp;M costs'!$Q$70:$Q$85)*(1+$S$8)</f>
        <v>0</v>
      </c>
      <c r="V106" s="86"/>
      <c r="W106" s="86">
        <f t="shared" si="20"/>
        <v>93</v>
      </c>
      <c r="X106" s="105">
        <f>SUMIF('1 Reclamation and O&amp;M costs'!$L$95:$L$112,'3 WM cash flow'!W106,'1 Reclamation and O&amp;M costs'!P$112:$P186)*(1+$S$7)</f>
        <v>0</v>
      </c>
      <c r="Y106" s="106">
        <f>SUMIF('1 Reclamation and O&amp;M costs'!$K$95:$K$112,'3 WM cash flow'!W106,'1 Reclamation and O&amp;M costs'!$T$95:$T$112)*(1+$S$7)</f>
        <v>0</v>
      </c>
      <c r="Z106" s="105">
        <f>SUMIF('1 Reclamation and O&amp;M costs'!$K$95:$K$112,"&gt;="&amp;M106,'1 Reclamation and O&amp;M costs'!$R$95:$R$112)*(1+$S$8)</f>
        <v>0</v>
      </c>
      <c r="AA106" s="106"/>
      <c r="AB106" s="86">
        <f t="shared" si="21"/>
        <v>93</v>
      </c>
      <c r="AC106" s="105">
        <f>SUMIF('1 Reclamation and O&amp;M costs'!$H$122:$H$132,'3 WM cash flow'!AB106,'1 Reclamation and O&amp;M costs'!$Q$122:$Q$132)*(1+$S$7)</f>
        <v>0</v>
      </c>
      <c r="AD106" s="106">
        <f>SUMIF('1 Reclamation and O&amp;M costs'!$H$122:$H$132,"&gt;="&amp;AB106,'1 Reclamation and O&amp;M costs'!$O$122:$O$132)*(1+$S$8)</f>
        <v>0</v>
      </c>
      <c r="AE106" s="108"/>
      <c r="AF106" s="86">
        <f t="shared" si="22"/>
        <v>93</v>
      </c>
      <c r="AG106" s="105">
        <f>(IF(AF106&lt;('1 Reclamation and O&amp;M costs'!$O$23-'1 Reclamation and O&amp;M costs'!$O$22),'2 Sampling Cost'!$O$13,IF(AF106&lt;'1 Reclamation and O&amp;M costs'!$O$24,'2 Sampling Cost'!$O$14,'2 Sampling Cost'!$O$15)))*(1+$S$8)</f>
        <v>3594.3250000000003</v>
      </c>
      <c r="AH106" s="106"/>
      <c r="AI106" s="105">
        <f t="shared" si="23"/>
        <v>3594.3250000000003</v>
      </c>
      <c r="AJ106" s="106"/>
    </row>
    <row r="107" spans="2:36" x14ac:dyDescent="0.25">
      <c r="B107" s="365">
        <f t="shared" si="13"/>
        <v>95</v>
      </c>
      <c r="C107" s="354">
        <f t="shared" si="15"/>
        <v>0</v>
      </c>
      <c r="D107" s="354">
        <f t="shared" si="16"/>
        <v>0</v>
      </c>
      <c r="E107" s="354">
        <f t="shared" si="17"/>
        <v>3594.3250000000003</v>
      </c>
      <c r="F107" s="354">
        <f t="shared" si="18"/>
        <v>3594.3250000000003</v>
      </c>
      <c r="M107" s="86">
        <f t="shared" si="14"/>
        <v>94</v>
      </c>
      <c r="N107" s="105">
        <f>SUMIF('1 Reclamation and O&amp;M costs'!$N$28:$N$37,M107,'1 Reclamation and O&amp;M costs'!$P$28:$P$37)*($S$7+1)</f>
        <v>0</v>
      </c>
      <c r="O107" s="106">
        <f>SUMIF('1 Reclamation and O&amp;M costs'!$M$28:$M$37,"&gt;="&amp;M107,'1 Reclamation and O&amp;M costs'!$R$28:$R$37)*($S$8+1)</f>
        <v>0</v>
      </c>
      <c r="P107" s="86"/>
      <c r="Q107" s="86">
        <f t="shared" si="19"/>
        <v>94</v>
      </c>
      <c r="R107" s="105">
        <f>SUMIF('1 Reclamation and O&amp;M costs'!$J$45:$J$60,'3 WM cash flow'!Q107,'1 Reclamation and O&amp;M costs'!$P$70:$P$85)*(1+$S$8)</f>
        <v>0</v>
      </c>
      <c r="S107" s="106">
        <f>SUMIF('1 Reclamation and O&amp;M costs'!$I$45:$I$60,'3 WM cash flow'!Q107,'1 Reclamation and O&amp;M costs'!$S$70:$S$85)*(1+$S$7)</f>
        <v>0</v>
      </c>
      <c r="T107" s="105">
        <f>(IF('3 WM cash flow'!Q107&lt;=('1 Reclamation and O&amp;M costs'!$O$23-'1 Reclamation and O&amp;M costs'!$O$22),0,SUMIF('1 Reclamation and O&amp;M costs'!$I$45:$I$60,"&gt;="&amp;'3 WM cash flow'!Q107,'1 Reclamation and O&amp;M costs'!$N$70:$N$85))+IF('3 WM cash flow'!Q107&lt;=('1 Reclamation and O&amp;M costs'!$O$23-'1 Reclamation and O&amp;M costs'!$O$22),'1 Reclamation and O&amp;M costs'!$I$89,0))*(1+$S$8)</f>
        <v>0</v>
      </c>
      <c r="U107" s="106">
        <f>SUMIF('1 Reclamation and O&amp;M costs'!$I$45:$I$60,"&gt;="&amp;Q107,'1 Reclamation and O&amp;M costs'!$Q$70:$Q$85)*(1+$S$8)</f>
        <v>0</v>
      </c>
      <c r="V107" s="86"/>
      <c r="W107" s="86">
        <f t="shared" si="20"/>
        <v>94</v>
      </c>
      <c r="X107" s="105">
        <f>SUMIF('1 Reclamation and O&amp;M costs'!$L$95:$L$112,'3 WM cash flow'!W107,'1 Reclamation and O&amp;M costs'!P$112:$P187)*(1+$S$7)</f>
        <v>0</v>
      </c>
      <c r="Y107" s="106">
        <f>SUMIF('1 Reclamation and O&amp;M costs'!$K$95:$K$112,'3 WM cash flow'!W107,'1 Reclamation and O&amp;M costs'!$T$95:$T$112)*(1+$S$7)</f>
        <v>0</v>
      </c>
      <c r="Z107" s="105">
        <f>SUMIF('1 Reclamation and O&amp;M costs'!$K$95:$K$112,"&gt;="&amp;M107,'1 Reclamation and O&amp;M costs'!$R$95:$R$112)*(1+$S$8)</f>
        <v>0</v>
      </c>
      <c r="AA107" s="106"/>
      <c r="AB107" s="86">
        <f t="shared" si="21"/>
        <v>94</v>
      </c>
      <c r="AC107" s="105">
        <f>SUMIF('1 Reclamation and O&amp;M costs'!$H$122:$H$132,'3 WM cash flow'!AB107,'1 Reclamation and O&amp;M costs'!$Q$122:$Q$132)*(1+$S$7)</f>
        <v>0</v>
      </c>
      <c r="AD107" s="106">
        <f>SUMIF('1 Reclamation and O&amp;M costs'!$H$122:$H$132,"&gt;="&amp;AB107,'1 Reclamation and O&amp;M costs'!$O$122:$O$132)*(1+$S$8)</f>
        <v>0</v>
      </c>
      <c r="AE107" s="108"/>
      <c r="AF107" s="86">
        <f t="shared" si="22"/>
        <v>94</v>
      </c>
      <c r="AG107" s="105">
        <f>(IF(AF107&lt;('1 Reclamation and O&amp;M costs'!$O$23-'1 Reclamation and O&amp;M costs'!$O$22),'2 Sampling Cost'!$O$13,IF(AF107&lt;'1 Reclamation and O&amp;M costs'!$O$24,'2 Sampling Cost'!$O$14,'2 Sampling Cost'!$O$15)))*(1+$S$8)</f>
        <v>3594.3250000000003</v>
      </c>
      <c r="AH107" s="106"/>
      <c r="AI107" s="105">
        <f t="shared" si="23"/>
        <v>3594.3250000000003</v>
      </c>
      <c r="AJ107" s="106"/>
    </row>
    <row r="108" spans="2:36" x14ac:dyDescent="0.25">
      <c r="B108" s="365">
        <f t="shared" si="13"/>
        <v>96</v>
      </c>
      <c r="C108" s="354">
        <f t="shared" si="15"/>
        <v>0</v>
      </c>
      <c r="D108" s="354">
        <f t="shared" si="16"/>
        <v>0</v>
      </c>
      <c r="E108" s="354">
        <f t="shared" si="17"/>
        <v>3594.3250000000003</v>
      </c>
      <c r="F108" s="354">
        <f t="shared" si="18"/>
        <v>3594.3250000000003</v>
      </c>
      <c r="M108" s="86">
        <f t="shared" si="14"/>
        <v>95</v>
      </c>
      <c r="N108" s="105">
        <f>SUMIF('1 Reclamation and O&amp;M costs'!$N$28:$N$37,M108,'1 Reclamation and O&amp;M costs'!$P$28:$P$37)*($S$7+1)</f>
        <v>0</v>
      </c>
      <c r="O108" s="106">
        <f>SUMIF('1 Reclamation and O&amp;M costs'!$M$28:$M$37,"&gt;="&amp;M108,'1 Reclamation and O&amp;M costs'!$R$28:$R$37)*($S$8+1)</f>
        <v>0</v>
      </c>
      <c r="P108" s="86"/>
      <c r="Q108" s="86">
        <f t="shared" si="19"/>
        <v>95</v>
      </c>
      <c r="R108" s="105">
        <f>SUMIF('1 Reclamation and O&amp;M costs'!$J$45:$J$60,'3 WM cash flow'!Q108,'1 Reclamation and O&amp;M costs'!$P$70:$P$85)*(1+$S$8)</f>
        <v>0</v>
      </c>
      <c r="S108" s="106">
        <f>SUMIF('1 Reclamation and O&amp;M costs'!$I$45:$I$60,'3 WM cash flow'!Q108,'1 Reclamation and O&amp;M costs'!$S$70:$S$85)*(1+$S$7)</f>
        <v>0</v>
      </c>
      <c r="T108" s="105">
        <f>(IF('3 WM cash flow'!Q108&lt;=('1 Reclamation and O&amp;M costs'!$O$23-'1 Reclamation and O&amp;M costs'!$O$22),0,SUMIF('1 Reclamation and O&amp;M costs'!$I$45:$I$60,"&gt;="&amp;'3 WM cash flow'!Q108,'1 Reclamation and O&amp;M costs'!$N$70:$N$85))+IF('3 WM cash flow'!Q108&lt;=('1 Reclamation and O&amp;M costs'!$O$23-'1 Reclamation and O&amp;M costs'!$O$22),'1 Reclamation and O&amp;M costs'!$I$89,0))*(1+$S$8)</f>
        <v>0</v>
      </c>
      <c r="U108" s="106">
        <f>SUMIF('1 Reclamation and O&amp;M costs'!$I$45:$I$60,"&gt;="&amp;Q108,'1 Reclamation and O&amp;M costs'!$Q$70:$Q$85)*(1+$S$8)</f>
        <v>0</v>
      </c>
      <c r="V108" s="86"/>
      <c r="W108" s="86">
        <f t="shared" si="20"/>
        <v>95</v>
      </c>
      <c r="X108" s="105">
        <f>SUMIF('1 Reclamation and O&amp;M costs'!$L$95:$L$112,'3 WM cash flow'!W108,'1 Reclamation and O&amp;M costs'!P$112:$P188)*(1+$S$7)</f>
        <v>0</v>
      </c>
      <c r="Y108" s="106">
        <f>SUMIF('1 Reclamation and O&amp;M costs'!$K$95:$K$112,'3 WM cash flow'!W108,'1 Reclamation and O&amp;M costs'!$T$95:$T$112)*(1+$S$7)</f>
        <v>0</v>
      </c>
      <c r="Z108" s="105">
        <f>SUMIF('1 Reclamation and O&amp;M costs'!$K$95:$K$112,"&gt;="&amp;M108,'1 Reclamation and O&amp;M costs'!$R$95:$R$112)*(1+$S$8)</f>
        <v>0</v>
      </c>
      <c r="AA108" s="106"/>
      <c r="AB108" s="86">
        <f t="shared" si="21"/>
        <v>95</v>
      </c>
      <c r="AC108" s="105">
        <f>SUMIF('1 Reclamation and O&amp;M costs'!$H$122:$H$132,'3 WM cash flow'!AB108,'1 Reclamation and O&amp;M costs'!$Q$122:$Q$132)*(1+$S$7)</f>
        <v>0</v>
      </c>
      <c r="AD108" s="106">
        <f>SUMIF('1 Reclamation and O&amp;M costs'!$H$122:$H$132,"&gt;="&amp;AB108,'1 Reclamation and O&amp;M costs'!$O$122:$O$132)*(1+$S$8)</f>
        <v>0</v>
      </c>
      <c r="AE108" s="108"/>
      <c r="AF108" s="86">
        <f t="shared" si="22"/>
        <v>95</v>
      </c>
      <c r="AG108" s="105">
        <f>(IF(AF108&lt;('1 Reclamation and O&amp;M costs'!$O$23-'1 Reclamation and O&amp;M costs'!$O$22),'2 Sampling Cost'!$O$13,IF(AF108&lt;'1 Reclamation and O&amp;M costs'!$O$24,'2 Sampling Cost'!$O$14,'2 Sampling Cost'!$O$15)))*(1+$S$8)</f>
        <v>3594.3250000000003</v>
      </c>
      <c r="AH108" s="106"/>
      <c r="AI108" s="105">
        <f t="shared" si="23"/>
        <v>3594.3250000000003</v>
      </c>
      <c r="AJ108" s="106"/>
    </row>
    <row r="109" spans="2:36" x14ac:dyDescent="0.25">
      <c r="B109" s="365">
        <f t="shared" si="13"/>
        <v>97</v>
      </c>
      <c r="C109" s="354">
        <f t="shared" si="15"/>
        <v>0</v>
      </c>
      <c r="D109" s="354">
        <f t="shared" si="16"/>
        <v>0</v>
      </c>
      <c r="E109" s="354">
        <f t="shared" si="17"/>
        <v>3594.3250000000003</v>
      </c>
      <c r="F109" s="354">
        <f t="shared" si="18"/>
        <v>3594.3250000000003</v>
      </c>
      <c r="M109" s="86">
        <f t="shared" si="14"/>
        <v>96</v>
      </c>
      <c r="N109" s="105">
        <f>SUMIF('1 Reclamation and O&amp;M costs'!$N$28:$N$37,M109,'1 Reclamation and O&amp;M costs'!$P$28:$P$37)*($S$7+1)</f>
        <v>0</v>
      </c>
      <c r="O109" s="106">
        <f>SUMIF('1 Reclamation and O&amp;M costs'!$M$28:$M$37,"&gt;="&amp;M109,'1 Reclamation and O&amp;M costs'!$R$28:$R$37)*($S$8+1)</f>
        <v>0</v>
      </c>
      <c r="P109" s="86"/>
      <c r="Q109" s="86">
        <f t="shared" si="19"/>
        <v>96</v>
      </c>
      <c r="R109" s="105">
        <f>SUMIF('1 Reclamation and O&amp;M costs'!$J$45:$J$60,'3 WM cash flow'!Q109,'1 Reclamation and O&amp;M costs'!$P$70:$P$85)*(1+$S$8)</f>
        <v>0</v>
      </c>
      <c r="S109" s="106">
        <f>SUMIF('1 Reclamation and O&amp;M costs'!$I$45:$I$60,'3 WM cash flow'!Q109,'1 Reclamation and O&amp;M costs'!$S$70:$S$85)*(1+$S$7)</f>
        <v>0</v>
      </c>
      <c r="T109" s="105">
        <f>(IF('3 WM cash flow'!Q109&lt;=('1 Reclamation and O&amp;M costs'!$O$23-'1 Reclamation and O&amp;M costs'!$O$22),0,SUMIF('1 Reclamation and O&amp;M costs'!$I$45:$I$60,"&gt;="&amp;'3 WM cash flow'!Q109,'1 Reclamation and O&amp;M costs'!$N$70:$N$85))+IF('3 WM cash flow'!Q109&lt;=('1 Reclamation and O&amp;M costs'!$O$23-'1 Reclamation and O&amp;M costs'!$O$22),'1 Reclamation and O&amp;M costs'!$I$89,0))*(1+$S$8)</f>
        <v>0</v>
      </c>
      <c r="U109" s="106">
        <f>SUMIF('1 Reclamation and O&amp;M costs'!$I$45:$I$60,"&gt;="&amp;Q109,'1 Reclamation and O&amp;M costs'!$Q$70:$Q$85)*(1+$S$8)</f>
        <v>0</v>
      </c>
      <c r="V109" s="86"/>
      <c r="W109" s="86">
        <f t="shared" si="20"/>
        <v>96</v>
      </c>
      <c r="X109" s="105">
        <f>SUMIF('1 Reclamation and O&amp;M costs'!$L$95:$L$112,'3 WM cash flow'!W109,'1 Reclamation and O&amp;M costs'!P$112:$P189)*(1+$S$7)</f>
        <v>0</v>
      </c>
      <c r="Y109" s="106">
        <f>SUMIF('1 Reclamation and O&amp;M costs'!$K$95:$K$112,'3 WM cash flow'!W109,'1 Reclamation and O&amp;M costs'!$T$95:$T$112)*(1+$S$7)</f>
        <v>0</v>
      </c>
      <c r="Z109" s="105">
        <f>SUMIF('1 Reclamation and O&amp;M costs'!$K$95:$K$112,"&gt;="&amp;M109,'1 Reclamation and O&amp;M costs'!$R$95:$R$112)*(1+$S$8)</f>
        <v>0</v>
      </c>
      <c r="AA109" s="106"/>
      <c r="AB109" s="86">
        <f t="shared" si="21"/>
        <v>96</v>
      </c>
      <c r="AC109" s="105">
        <f>SUMIF('1 Reclamation and O&amp;M costs'!$H$122:$H$132,'3 WM cash flow'!AB109,'1 Reclamation and O&amp;M costs'!$Q$122:$Q$132)*(1+$S$7)</f>
        <v>0</v>
      </c>
      <c r="AD109" s="106">
        <f>SUMIF('1 Reclamation and O&amp;M costs'!$H$122:$H$132,"&gt;="&amp;AB109,'1 Reclamation and O&amp;M costs'!$O$122:$O$132)*(1+$S$8)</f>
        <v>0</v>
      </c>
      <c r="AE109" s="108"/>
      <c r="AF109" s="86">
        <f t="shared" si="22"/>
        <v>96</v>
      </c>
      <c r="AG109" s="105">
        <f>(IF(AF109&lt;('1 Reclamation and O&amp;M costs'!$O$23-'1 Reclamation and O&amp;M costs'!$O$22),'2 Sampling Cost'!$O$13,IF(AF109&lt;'1 Reclamation and O&amp;M costs'!$O$24,'2 Sampling Cost'!$O$14,'2 Sampling Cost'!$O$15)))*(1+$S$8)</f>
        <v>3594.3250000000003</v>
      </c>
      <c r="AH109" s="106"/>
      <c r="AI109" s="105">
        <f t="shared" si="23"/>
        <v>3594.3250000000003</v>
      </c>
      <c r="AJ109" s="106"/>
    </row>
    <row r="110" spans="2:36" x14ac:dyDescent="0.25">
      <c r="B110" s="365">
        <f t="shared" si="13"/>
        <v>98</v>
      </c>
      <c r="C110" s="354">
        <f t="shared" si="15"/>
        <v>0</v>
      </c>
      <c r="D110" s="354">
        <f t="shared" si="16"/>
        <v>0</v>
      </c>
      <c r="E110" s="354">
        <f t="shared" si="17"/>
        <v>3594.3250000000003</v>
      </c>
      <c r="F110" s="354">
        <f t="shared" si="18"/>
        <v>3594.3250000000003</v>
      </c>
      <c r="M110" s="86">
        <f t="shared" si="14"/>
        <v>97</v>
      </c>
      <c r="N110" s="105">
        <f>SUMIF('1 Reclamation and O&amp;M costs'!$N$28:$N$37,M110,'1 Reclamation and O&amp;M costs'!$P$28:$P$37)*($S$7+1)</f>
        <v>0</v>
      </c>
      <c r="O110" s="106">
        <f>SUMIF('1 Reclamation and O&amp;M costs'!$M$28:$M$37,"&gt;="&amp;M110,'1 Reclamation and O&amp;M costs'!$R$28:$R$37)*($S$8+1)</f>
        <v>0</v>
      </c>
      <c r="P110" s="86"/>
      <c r="Q110" s="86">
        <f t="shared" ref="Q110:Q112" si="24">1+Q109</f>
        <v>97</v>
      </c>
      <c r="R110" s="105">
        <f>SUMIF('1 Reclamation and O&amp;M costs'!$J$45:$J$60,'3 WM cash flow'!Q110,'1 Reclamation and O&amp;M costs'!$P$70:$P$85)*(1+$S$8)</f>
        <v>0</v>
      </c>
      <c r="S110" s="106">
        <f>SUMIF('1 Reclamation and O&amp;M costs'!$I$45:$I$60,'3 WM cash flow'!Q110,'1 Reclamation and O&amp;M costs'!$S$70:$S$85)*(1+$S$7)</f>
        <v>0</v>
      </c>
      <c r="T110" s="105">
        <f>(IF('3 WM cash flow'!Q110&lt;=('1 Reclamation and O&amp;M costs'!$O$23-'1 Reclamation and O&amp;M costs'!$O$22),0,SUMIF('1 Reclamation and O&amp;M costs'!$I$45:$I$60,"&gt;="&amp;'3 WM cash flow'!Q110,'1 Reclamation and O&amp;M costs'!$N$70:$N$85))+IF('3 WM cash flow'!Q110&lt;=('1 Reclamation and O&amp;M costs'!$O$23-'1 Reclamation and O&amp;M costs'!$O$22),'1 Reclamation and O&amp;M costs'!$I$89,0))*(1+$S$8)</f>
        <v>0</v>
      </c>
      <c r="U110" s="106">
        <f>SUMIF('1 Reclamation and O&amp;M costs'!$I$45:$I$60,"&gt;="&amp;Q110,'1 Reclamation and O&amp;M costs'!$Q$70:$Q$85)*(1+$S$8)</f>
        <v>0</v>
      </c>
      <c r="V110" s="86"/>
      <c r="W110" s="86">
        <f t="shared" ref="W110:W112" si="25">W109+1</f>
        <v>97</v>
      </c>
      <c r="X110" s="105">
        <f>SUMIF('1 Reclamation and O&amp;M costs'!$L$95:$L$112,'3 WM cash flow'!W110,'1 Reclamation and O&amp;M costs'!P$112:$P190)*(1+$S$7)</f>
        <v>0</v>
      </c>
      <c r="Y110" s="106">
        <f>SUMIF('1 Reclamation and O&amp;M costs'!$K$95:$K$112,'3 WM cash flow'!W110,'1 Reclamation and O&amp;M costs'!$T$95:$T$112)*(1+$S$7)</f>
        <v>0</v>
      </c>
      <c r="Z110" s="105">
        <f>SUMIF('1 Reclamation and O&amp;M costs'!$K$95:$K$112,"&gt;="&amp;M110,'1 Reclamation and O&amp;M costs'!$R$95:$R$112)*(1+$S$8)</f>
        <v>0</v>
      </c>
      <c r="AA110" s="106"/>
      <c r="AB110" s="86">
        <f t="shared" si="21"/>
        <v>97</v>
      </c>
      <c r="AC110" s="105">
        <f>SUMIF('1 Reclamation and O&amp;M costs'!$H$122:$H$132,'3 WM cash flow'!AB110,'1 Reclamation and O&amp;M costs'!$Q$122:$Q$132)*(1+$S$7)</f>
        <v>0</v>
      </c>
      <c r="AD110" s="106">
        <f>SUMIF('1 Reclamation and O&amp;M costs'!$H$122:$H$132,"&gt;="&amp;AB110,'1 Reclamation and O&amp;M costs'!$O$122:$O$132)*(1+$S$8)</f>
        <v>0</v>
      </c>
      <c r="AE110" s="108"/>
      <c r="AF110" s="86">
        <f t="shared" si="22"/>
        <v>97</v>
      </c>
      <c r="AG110" s="105">
        <f>(IF(AF110&lt;('1 Reclamation and O&amp;M costs'!$O$23-'1 Reclamation and O&amp;M costs'!$O$22),'2 Sampling Cost'!$O$13,IF(AF110&lt;'1 Reclamation and O&amp;M costs'!$O$24,'2 Sampling Cost'!$O$14,'2 Sampling Cost'!$O$15)))*(1+$S$8)</f>
        <v>3594.3250000000003</v>
      </c>
      <c r="AH110" s="106"/>
      <c r="AI110" s="105">
        <f t="shared" si="23"/>
        <v>3594.3250000000003</v>
      </c>
      <c r="AJ110" s="106"/>
    </row>
    <row r="111" spans="2:36" x14ac:dyDescent="0.25">
      <c r="B111" s="365">
        <f t="shared" si="13"/>
        <v>99</v>
      </c>
      <c r="C111" s="354">
        <f t="shared" si="15"/>
        <v>0</v>
      </c>
      <c r="D111" s="354">
        <f t="shared" si="16"/>
        <v>0</v>
      </c>
      <c r="E111" s="354">
        <f t="shared" si="17"/>
        <v>3594.3250000000003</v>
      </c>
      <c r="F111" s="354">
        <f t="shared" si="18"/>
        <v>3594.3250000000003</v>
      </c>
      <c r="M111" s="86">
        <f t="shared" si="14"/>
        <v>98</v>
      </c>
      <c r="N111" s="105">
        <f>SUMIF('1 Reclamation and O&amp;M costs'!$N$28:$N$37,M111,'1 Reclamation and O&amp;M costs'!$P$28:$P$37)*($S$7+1)</f>
        <v>0</v>
      </c>
      <c r="O111" s="106">
        <f>SUMIF('1 Reclamation and O&amp;M costs'!$M$28:$M$37,"&gt;="&amp;M111,'1 Reclamation and O&amp;M costs'!$R$28:$R$37)*($S$8+1)</f>
        <v>0</v>
      </c>
      <c r="P111" s="86"/>
      <c r="Q111" s="86">
        <f t="shared" si="24"/>
        <v>98</v>
      </c>
      <c r="R111" s="105">
        <f>SUMIF('1 Reclamation and O&amp;M costs'!$J$45:$J$60,'3 WM cash flow'!Q111,'1 Reclamation and O&amp;M costs'!$P$70:$P$85)*(1+$S$8)</f>
        <v>0</v>
      </c>
      <c r="S111" s="106">
        <f>SUMIF('1 Reclamation and O&amp;M costs'!$I$45:$I$60,'3 WM cash flow'!Q111,'1 Reclamation and O&amp;M costs'!$S$70:$S$85)*(1+$S$7)</f>
        <v>0</v>
      </c>
      <c r="T111" s="105">
        <f>(IF('3 WM cash flow'!Q111&lt;=('1 Reclamation and O&amp;M costs'!$O$23-'1 Reclamation and O&amp;M costs'!$O$22),0,SUMIF('1 Reclamation and O&amp;M costs'!$I$45:$I$60,"&gt;="&amp;'3 WM cash flow'!Q111,'1 Reclamation and O&amp;M costs'!$N$70:$N$85))+IF('3 WM cash flow'!Q111&lt;=('1 Reclamation and O&amp;M costs'!$O$23-'1 Reclamation and O&amp;M costs'!$O$22),'1 Reclamation and O&amp;M costs'!$I$89,0))*(1+$S$8)</f>
        <v>0</v>
      </c>
      <c r="U111" s="106">
        <f>SUMIF('1 Reclamation and O&amp;M costs'!$I$45:$I$60,"&gt;="&amp;Q111,'1 Reclamation and O&amp;M costs'!$Q$70:$Q$85)*(1+$S$8)</f>
        <v>0</v>
      </c>
      <c r="V111" s="86"/>
      <c r="W111" s="86">
        <f t="shared" si="25"/>
        <v>98</v>
      </c>
      <c r="X111" s="105">
        <f>SUMIF('1 Reclamation and O&amp;M costs'!$L$95:$L$112,'3 WM cash flow'!W111,'1 Reclamation and O&amp;M costs'!P$112:$P191)*(1+$S$7)</f>
        <v>0</v>
      </c>
      <c r="Y111" s="106">
        <f>SUMIF('1 Reclamation and O&amp;M costs'!$K$95:$K$112,'3 WM cash flow'!W111,'1 Reclamation and O&amp;M costs'!$T$95:$T$112)*(1+$S$7)</f>
        <v>0</v>
      </c>
      <c r="Z111" s="105">
        <f>SUMIF('1 Reclamation and O&amp;M costs'!$K$95:$K$112,"&gt;="&amp;M111,'1 Reclamation and O&amp;M costs'!$R$95:$R$112)*(1+$S$8)</f>
        <v>0</v>
      </c>
      <c r="AA111" s="106"/>
      <c r="AB111" s="86">
        <f t="shared" si="21"/>
        <v>98</v>
      </c>
      <c r="AC111" s="105">
        <f>SUMIF('1 Reclamation and O&amp;M costs'!$H$122:$H$132,'3 WM cash flow'!AB111,'1 Reclamation and O&amp;M costs'!$Q$122:$Q$132)*(1+$S$7)</f>
        <v>0</v>
      </c>
      <c r="AD111" s="106">
        <f>SUMIF('1 Reclamation and O&amp;M costs'!$H$122:$H$132,"&gt;="&amp;AB111,'1 Reclamation and O&amp;M costs'!$O$122:$O$132)*(1+$S$8)</f>
        <v>0</v>
      </c>
      <c r="AE111" s="108"/>
      <c r="AF111" s="86">
        <f t="shared" si="22"/>
        <v>98</v>
      </c>
      <c r="AG111" s="105">
        <f>(IF(AF111&lt;('1 Reclamation and O&amp;M costs'!$O$23-'1 Reclamation and O&amp;M costs'!$O$22),'2 Sampling Cost'!$O$13,IF(AF111&lt;'1 Reclamation and O&amp;M costs'!$O$24,'2 Sampling Cost'!$O$14,'2 Sampling Cost'!$O$15)))*(1+$S$8)</f>
        <v>3594.3250000000003</v>
      </c>
      <c r="AH111" s="106"/>
      <c r="AI111" s="105">
        <f>SUM(AG111,AC111:AD111,X111:Z111,R111:U111,N111:O111)</f>
        <v>3594.3250000000003</v>
      </c>
      <c r="AJ111" s="106"/>
    </row>
    <row r="112" spans="2:36" ht="13.8" thickBot="1" x14ac:dyDescent="0.3">
      <c r="B112" s="366">
        <f t="shared" ref="B112" si="26">1+B111</f>
        <v>100</v>
      </c>
      <c r="C112" s="355">
        <f t="shared" si="15"/>
        <v>0</v>
      </c>
      <c r="D112" s="355">
        <f t="shared" si="16"/>
        <v>0</v>
      </c>
      <c r="E112" s="355">
        <f t="shared" si="17"/>
        <v>3594.3250000000003</v>
      </c>
      <c r="F112" s="355">
        <f t="shared" si="18"/>
        <v>3594.3250000000003</v>
      </c>
      <c r="M112" s="86">
        <f t="shared" ref="M112" si="27">1+M111</f>
        <v>99</v>
      </c>
      <c r="N112" s="105">
        <f>SUMIF('1 Reclamation and O&amp;M costs'!$N$28:$N$37,M112,'1 Reclamation and O&amp;M costs'!$P$28:$P$37)*($S$7+1)</f>
        <v>0</v>
      </c>
      <c r="O112" s="106">
        <f>SUMIF('1 Reclamation and O&amp;M costs'!$M$28:$M$37,"&gt;="&amp;M112,'1 Reclamation and O&amp;M costs'!$R$28:$R$37)*($S$8+1)</f>
        <v>0</v>
      </c>
      <c r="P112" s="86"/>
      <c r="Q112" s="86">
        <f t="shared" si="24"/>
        <v>99</v>
      </c>
      <c r="R112" s="105">
        <f>SUMIF('1 Reclamation and O&amp;M costs'!$J$45:$J$60,'3 WM cash flow'!Q112,'1 Reclamation and O&amp;M costs'!$P$70:$P$85)*(1+$S$8)</f>
        <v>0</v>
      </c>
      <c r="S112" s="106">
        <f>SUMIF('1 Reclamation and O&amp;M costs'!$I$45:$I$60,'3 WM cash flow'!Q112,'1 Reclamation and O&amp;M costs'!$S$70:$S$85)*(1+$S$7)</f>
        <v>0</v>
      </c>
      <c r="T112" s="105">
        <f>(IF('3 WM cash flow'!Q112&lt;=('1 Reclamation and O&amp;M costs'!$O$23-'1 Reclamation and O&amp;M costs'!$O$22),0,SUMIF('1 Reclamation and O&amp;M costs'!$I$45:$I$60,"&gt;="&amp;'3 WM cash flow'!Q112,'1 Reclamation and O&amp;M costs'!$N$70:$N$85))+IF('3 WM cash flow'!Q112&lt;=('1 Reclamation and O&amp;M costs'!$O$23-'1 Reclamation and O&amp;M costs'!$O$22),'1 Reclamation and O&amp;M costs'!$I$89,0))*(1+$S$8)</f>
        <v>0</v>
      </c>
      <c r="U112" s="106">
        <f>SUMIF('1 Reclamation and O&amp;M costs'!$I$45:$I$60,"&gt;="&amp;Q112,'1 Reclamation and O&amp;M costs'!$Q$70:$Q$85)*(1+$S$8)</f>
        <v>0</v>
      </c>
      <c r="V112" s="86"/>
      <c r="W112" s="86">
        <f t="shared" si="25"/>
        <v>99</v>
      </c>
      <c r="X112" s="105">
        <f>SUMIF('1 Reclamation and O&amp;M costs'!$L$95:$L$112,'3 WM cash flow'!W112,'1 Reclamation and O&amp;M costs'!P$112:$P192)*(1+$S$7)</f>
        <v>0</v>
      </c>
      <c r="Y112" s="106">
        <f>SUMIF('1 Reclamation and O&amp;M costs'!$K$95:$K$112,'3 WM cash flow'!W112,'1 Reclamation and O&amp;M costs'!$T$95:$T$112)*(1+$S$7)</f>
        <v>0</v>
      </c>
      <c r="Z112" s="105">
        <f>SUMIF('1 Reclamation and O&amp;M costs'!$K$95:$K$112,"&gt;="&amp;M112,'1 Reclamation and O&amp;M costs'!$R$95:$R$112)*(1+$S$8)</f>
        <v>0</v>
      </c>
      <c r="AA112" s="106"/>
      <c r="AB112" s="86">
        <f t="shared" si="21"/>
        <v>99</v>
      </c>
      <c r="AC112" s="105">
        <f>SUMIF('1 Reclamation and O&amp;M costs'!$H$122:$H$132,'3 WM cash flow'!AB112,'1 Reclamation and O&amp;M costs'!$Q$122:$Q$132)*(1+$S$7)</f>
        <v>0</v>
      </c>
      <c r="AD112" s="106">
        <f>SUMIF('1 Reclamation and O&amp;M costs'!$H$122:$H$132,"&gt;="&amp;AB112,'1 Reclamation and O&amp;M costs'!$O$122:$O$132)*(1+$S$8)</f>
        <v>0</v>
      </c>
      <c r="AE112" s="108"/>
      <c r="AF112" s="86">
        <f t="shared" si="22"/>
        <v>99</v>
      </c>
      <c r="AG112" s="105">
        <f>(IF(AF112&lt;('1 Reclamation and O&amp;M costs'!$O$23-'1 Reclamation and O&amp;M costs'!$O$22),'2 Sampling Cost'!$O$13,IF(AF112&lt;'1 Reclamation and O&amp;M costs'!$O$24,'2 Sampling Cost'!$O$14,'2 Sampling Cost'!$O$15)))*(1+$S$8)</f>
        <v>3594.3250000000003</v>
      </c>
      <c r="AH112" s="106"/>
      <c r="AI112" s="105">
        <f t="shared" si="23"/>
        <v>3594.3250000000003</v>
      </c>
      <c r="AJ112" s="106"/>
    </row>
    <row r="113" spans="2:36" ht="13.8" thickBot="1" x14ac:dyDescent="0.3">
      <c r="B113" s="367" t="s">
        <v>307</v>
      </c>
      <c r="C113" s="356">
        <f ca="1">SUM(C13:C112)</f>
        <v>218428.73873876015</v>
      </c>
      <c r="D113" s="356">
        <f t="shared" ref="D113:F113" si="28">SUM(D13:D112)</f>
        <v>271359.68599999999</v>
      </c>
      <c r="E113" s="356">
        <f t="shared" si="28"/>
        <v>1654727.4189173421</v>
      </c>
      <c r="F113" s="356">
        <f t="shared" ca="1" si="28"/>
        <v>2144515.8436561055</v>
      </c>
      <c r="M113" s="88" t="s">
        <v>132</v>
      </c>
      <c r="N113" s="109">
        <f>SUM(N13:N112)</f>
        <v>218428.73873876015</v>
      </c>
      <c r="O113" s="109">
        <f>SUM(O13:O112)</f>
        <v>224900.56098136865</v>
      </c>
      <c r="P113" s="110"/>
      <c r="Q113" s="110"/>
      <c r="R113" s="109">
        <f>SUM(R13:R112)</f>
        <v>0</v>
      </c>
      <c r="S113" s="109">
        <f>SUM(S13:S112)</f>
        <v>0</v>
      </c>
      <c r="T113" s="109">
        <f>SUM(T13:T112)</f>
        <v>41212.267063448722</v>
      </c>
      <c r="U113" s="109">
        <f>SUM(U13:U112)</f>
        <v>639923.07692307711</v>
      </c>
      <c r="V113" s="110"/>
      <c r="W113" s="110"/>
      <c r="X113" s="109">
        <f ca="1">SUM(X13:X112)</f>
        <v>0</v>
      </c>
      <c r="Y113" s="109">
        <f>SUM(Y13:Y112)</f>
        <v>204672</v>
      </c>
      <c r="Z113" s="109">
        <f>SUM(Z13:Z112)</f>
        <v>167017.82395749999</v>
      </c>
      <c r="AA113" s="109"/>
      <c r="AB113" s="110"/>
      <c r="AC113" s="109">
        <f>SUM(AC13:AC112)</f>
        <v>66687.686000000002</v>
      </c>
      <c r="AD113" s="109">
        <f>SUM(AD13:AD112)</f>
        <v>143166.03999195169</v>
      </c>
      <c r="AE113" s="110"/>
      <c r="AF113" s="110"/>
      <c r="AG113" s="109">
        <f>SUM(AG13:AG112)</f>
        <v>438507.65000000095</v>
      </c>
      <c r="AH113" s="109"/>
      <c r="AI113" s="109">
        <f ca="1">SUM(AI13:AI112)</f>
        <v>2144515.8436561055</v>
      </c>
      <c r="AJ113" s="109"/>
    </row>
    <row r="114" spans="2:36" x14ac:dyDescent="0.25">
      <c r="M114" s="111" t="s">
        <v>134</v>
      </c>
      <c r="N114" s="105">
        <f>SUM(N13:N112)/($S$7+1)</f>
        <v>168022.10672212319</v>
      </c>
      <c r="O114" s="105">
        <f>SUM(O13:O112)/($S$8+1)</f>
        <v>191404.73275010096</v>
      </c>
      <c r="P114" s="86"/>
      <c r="Q114" s="86"/>
      <c r="R114" s="105">
        <f>SUM(R13:R112)/($S$8+1)</f>
        <v>0</v>
      </c>
      <c r="S114" s="105">
        <f>SUM(S13:S112)/($S$7+1)</f>
        <v>0</v>
      </c>
      <c r="T114" s="105">
        <f>SUM(T13:T112)/($S$8+1)</f>
        <v>35074.269841232956</v>
      </c>
      <c r="U114" s="105">
        <f>SUM(U13:U112)/($S$8+1)</f>
        <v>544615.38461538474</v>
      </c>
      <c r="V114" s="86"/>
      <c r="W114" s="86"/>
      <c r="X114" s="105">
        <f ca="1">SUM(X13:X112)/($S$7+1)</f>
        <v>0</v>
      </c>
      <c r="Y114" s="105">
        <f>SUM(Y13:Y112)/($S$7+1)</f>
        <v>157440</v>
      </c>
      <c r="Z114" s="105">
        <f>SUM(Z13:Z112)/($S$8+1)</f>
        <v>142142.82889999999</v>
      </c>
      <c r="AA114" s="105"/>
      <c r="AB114" s="86"/>
      <c r="AC114" s="105">
        <f>SUM(AC13:AC112)/($S$7+1)</f>
        <v>51298.22</v>
      </c>
      <c r="AD114" s="105">
        <f>SUM(AD13:AD112)/($S$8+1)</f>
        <v>121843.43829102271</v>
      </c>
      <c r="AE114" s="108"/>
      <c r="AF114" s="86"/>
      <c r="AG114" s="105">
        <f>SUM(AG13:AG112)/($S$8+1)</f>
        <v>373198.00000000081</v>
      </c>
      <c r="AH114" s="105"/>
      <c r="AI114" s="112" t="s">
        <v>51</v>
      </c>
      <c r="AJ114" s="105"/>
    </row>
    <row r="115" spans="2:36" x14ac:dyDescent="0.25">
      <c r="M115" s="86"/>
      <c r="N115" s="111"/>
      <c r="O115" s="111"/>
      <c r="P115" s="111"/>
      <c r="Q115" s="111"/>
      <c r="R115" s="111"/>
      <c r="S115" s="111"/>
      <c r="T115" s="111"/>
      <c r="U115" s="111"/>
      <c r="V115" s="111"/>
      <c r="W115" s="111"/>
      <c r="X115" s="111"/>
      <c r="Y115" s="111"/>
      <c r="Z115" s="111"/>
      <c r="AA115" s="111"/>
      <c r="AB115" s="111"/>
      <c r="AC115" s="111"/>
      <c r="AD115" s="111"/>
      <c r="AE115" s="111"/>
      <c r="AF115" s="111"/>
      <c r="AG115" s="111"/>
      <c r="AI115" s="113"/>
    </row>
    <row r="116" spans="2:36" x14ac:dyDescent="0.25">
      <c r="M116" s="86"/>
      <c r="N116" s="88" t="s">
        <v>132</v>
      </c>
      <c r="O116" s="114">
        <f ca="1">(N113+O113)+(R113+S113+U113+T113)+(X113+Y113+Z113)+(AC113+AD113)+(AG113)</f>
        <v>2144515.8436561073</v>
      </c>
      <c r="P116" s="86"/>
      <c r="Q116" s="86"/>
      <c r="R116" s="108"/>
      <c r="S116" s="108"/>
      <c r="T116" s="108"/>
      <c r="U116" s="108"/>
      <c r="V116" s="86"/>
      <c r="W116" s="86"/>
      <c r="X116" s="108"/>
      <c r="Y116" s="108"/>
      <c r="AG116" s="108"/>
    </row>
    <row r="117" spans="2:36" x14ac:dyDescent="0.25">
      <c r="N117" s="111" t="s">
        <v>134</v>
      </c>
      <c r="O117" s="114">
        <f ca="1">(N114+O114)+(R114+S114+U114+T114)+(X114+Y114+Z114)+(AC114+AD114)+(AG114)</f>
        <v>1785038.9811198656</v>
      </c>
      <c r="P117" s="86"/>
      <c r="Q117" s="86"/>
      <c r="R117" s="86"/>
      <c r="S117" s="108"/>
      <c r="T117" s="108"/>
      <c r="U117" s="108"/>
      <c r="V117" s="86"/>
      <c r="W117" s="86"/>
      <c r="X117" s="86"/>
      <c r="Y117" s="86"/>
      <c r="Z117" s="91"/>
    </row>
    <row r="118" spans="2:36" x14ac:dyDescent="0.25">
      <c r="O118" s="114"/>
      <c r="P118" s="86"/>
      <c r="Q118" s="86"/>
      <c r="R118" s="86"/>
      <c r="S118" s="86"/>
      <c r="T118" s="86"/>
      <c r="U118" s="108"/>
      <c r="V118" s="86"/>
      <c r="W118" s="86"/>
      <c r="X118" s="86"/>
      <c r="Y118" s="86"/>
    </row>
    <row r="119" spans="2:36" x14ac:dyDescent="0.25">
      <c r="M119" s="86"/>
      <c r="N119" s="108"/>
      <c r="O119" s="108"/>
      <c r="P119" s="108"/>
      <c r="Q119" s="86"/>
      <c r="R119" s="86"/>
      <c r="S119" s="86"/>
      <c r="T119" s="86"/>
      <c r="U119" s="86"/>
      <c r="V119" s="86"/>
      <c r="W119" s="86"/>
      <c r="X119" s="86"/>
      <c r="Y119" s="86"/>
    </row>
    <row r="120" spans="2:36" x14ac:dyDescent="0.25">
      <c r="M120" s="86"/>
      <c r="N120" s="86"/>
      <c r="O120" s="86"/>
      <c r="P120" s="86"/>
      <c r="Q120" s="86"/>
      <c r="R120" s="86"/>
      <c r="S120" s="86"/>
      <c r="T120" s="86"/>
      <c r="U120" s="86"/>
      <c r="V120" s="86"/>
      <c r="W120" s="86"/>
      <c r="X120" s="86"/>
      <c r="Y120" s="86"/>
    </row>
    <row r="121" spans="2:36" ht="11.25" customHeight="1" x14ac:dyDescent="0.25">
      <c r="M121" s="87" t="s">
        <v>136</v>
      </c>
      <c r="N121" s="91">
        <f>N114+O114-'1 Reclamation and O&amp;M costs'!T39</f>
        <v>359426.83947222412</v>
      </c>
      <c r="R121" s="91">
        <f>R114+S114+U114+T114-'1 Reclamation and O&amp;M costs'!P90-'1 Reclamation and O&amp;M costs'!R90-'1 Reclamation and O&amp;M costs'!S90-'1 Reclamation and O&amp;M costs'!T90</f>
        <v>0</v>
      </c>
      <c r="X121" s="91">
        <f ca="1">X114+Y114+Z114-'1 Reclamation and O&amp;M costs'!U117</f>
        <v>299582.82889999996</v>
      </c>
      <c r="AC121" s="91">
        <f>AC114+AD114-'1 Reclamation and O&amp;M costs'!R134</f>
        <v>173141.6582910227</v>
      </c>
      <c r="AG121" s="91">
        <f>AG114-'2 Sampling Cost'!O16</f>
        <v>8.149072527885437E-10</v>
      </c>
    </row>
    <row r="124" spans="2:36" x14ac:dyDescent="0.25">
      <c r="O124" s="108"/>
    </row>
    <row r="128" spans="2:36" ht="15.6" x14ac:dyDescent="0.3">
      <c r="N128" s="115"/>
      <c r="O128" s="116"/>
      <c r="P128" s="3"/>
    </row>
    <row r="129" spans="14:17" ht="15.6" x14ac:dyDescent="0.3">
      <c r="N129" s="115"/>
      <c r="O129" s="116"/>
    </row>
    <row r="130" spans="14:17" ht="15.6" x14ac:dyDescent="0.3">
      <c r="N130" s="116"/>
      <c r="O130" s="116"/>
      <c r="Q130" s="117"/>
    </row>
    <row r="131" spans="14:17" ht="15.6" x14ac:dyDescent="0.3">
      <c r="N131" s="116"/>
      <c r="O131" s="116"/>
    </row>
    <row r="132" spans="14:17" ht="15.6" x14ac:dyDescent="0.3">
      <c r="N132" s="116"/>
      <c r="O132" s="116"/>
    </row>
    <row r="133" spans="14:17" ht="15.6" x14ac:dyDescent="0.3">
      <c r="N133" s="115"/>
      <c r="O133" s="116"/>
    </row>
    <row r="134" spans="14:17" ht="15.6" x14ac:dyDescent="0.3">
      <c r="N134" s="116"/>
      <c r="O134" s="116"/>
    </row>
    <row r="135" spans="14:17" ht="15.6" x14ac:dyDescent="0.3">
      <c r="N135" s="116"/>
      <c r="O135" s="116"/>
    </row>
    <row r="136" spans="14:17" x14ac:dyDescent="0.25">
      <c r="N136" s="86"/>
      <c r="O136" s="86"/>
    </row>
    <row r="138" spans="14:17" ht="15.6" x14ac:dyDescent="0.3">
      <c r="N138" s="115"/>
      <c r="O138" s="116"/>
    </row>
    <row r="139" spans="14:17" ht="15.6" x14ac:dyDescent="0.3">
      <c r="N139" s="115"/>
      <c r="O139" s="116"/>
    </row>
    <row r="140" spans="14:17" ht="15.6" x14ac:dyDescent="0.3">
      <c r="N140" s="116"/>
      <c r="O140" s="116"/>
    </row>
    <row r="141" spans="14:17" ht="15.6" x14ac:dyDescent="0.3">
      <c r="N141" s="116"/>
      <c r="O141" s="116"/>
    </row>
    <row r="142" spans="14:17" ht="15.6" x14ac:dyDescent="0.3">
      <c r="N142" s="116"/>
      <c r="O142" s="116"/>
    </row>
    <row r="143" spans="14:17" ht="15.6" x14ac:dyDescent="0.3">
      <c r="N143" s="115"/>
      <c r="O143" s="116"/>
    </row>
    <row r="144" spans="14:17" ht="15.6" x14ac:dyDescent="0.3">
      <c r="N144" s="116"/>
      <c r="O144" s="116"/>
    </row>
    <row r="145" spans="13:20" ht="15.6" x14ac:dyDescent="0.3">
      <c r="N145" s="116"/>
      <c r="O145" s="116"/>
    </row>
    <row r="146" spans="13:20" x14ac:dyDescent="0.25">
      <c r="M146" s="86"/>
      <c r="N146" s="86"/>
      <c r="O146" s="86"/>
      <c r="P146" s="86"/>
      <c r="Q146" s="86"/>
      <c r="R146" s="86"/>
      <c r="S146" s="86"/>
      <c r="T146" s="86"/>
    </row>
    <row r="147" spans="13:20" x14ac:dyDescent="0.25">
      <c r="M147" s="86"/>
      <c r="N147" s="86"/>
      <c r="O147" s="86"/>
      <c r="P147" s="86"/>
      <c r="Q147" s="86"/>
      <c r="R147" s="86"/>
      <c r="S147" s="86"/>
      <c r="T147" s="86"/>
    </row>
    <row r="148" spans="13:20" x14ac:dyDescent="0.25">
      <c r="M148" s="86"/>
      <c r="N148" s="86"/>
      <c r="P148" s="88"/>
      <c r="Q148" s="88"/>
      <c r="R148" s="88"/>
      <c r="S148" s="88"/>
      <c r="T148" s="88"/>
    </row>
    <row r="149" spans="13:20" x14ac:dyDescent="0.25">
      <c r="M149" s="86"/>
      <c r="N149" s="86"/>
      <c r="P149" s="88"/>
      <c r="Q149" s="88"/>
      <c r="R149" s="88"/>
      <c r="S149" s="88"/>
      <c r="T149" s="88"/>
    </row>
    <row r="150" spans="13:20" x14ac:dyDescent="0.25">
      <c r="M150" s="86"/>
      <c r="N150" s="86"/>
      <c r="P150" s="86"/>
      <c r="Q150" s="86"/>
      <c r="R150" s="86"/>
      <c r="S150" s="86"/>
      <c r="T150" s="86"/>
    </row>
    <row r="151" spans="13:20" x14ac:dyDescent="0.25">
      <c r="M151" s="86"/>
      <c r="N151" s="86"/>
      <c r="P151" s="118"/>
      <c r="Q151" s="118"/>
      <c r="R151" s="118"/>
      <c r="S151" s="118"/>
      <c r="T151" s="118"/>
    </row>
    <row r="152" spans="13:20" x14ac:dyDescent="0.25">
      <c r="M152" s="86"/>
      <c r="N152" s="86"/>
      <c r="P152" s="118"/>
      <c r="Q152" s="118"/>
      <c r="R152" s="118"/>
      <c r="S152" s="118"/>
      <c r="T152" s="118"/>
    </row>
    <row r="153" spans="13:20" x14ac:dyDescent="0.25">
      <c r="M153" s="86"/>
      <c r="N153" s="86"/>
      <c r="P153" s="118"/>
      <c r="Q153" s="118"/>
      <c r="R153" s="118"/>
      <c r="S153" s="118"/>
      <c r="T153" s="118"/>
    </row>
    <row r="154" spans="13:20" x14ac:dyDescent="0.25">
      <c r="M154" s="86"/>
      <c r="N154" s="86"/>
      <c r="P154" s="118"/>
      <c r="Q154" s="118"/>
      <c r="R154" s="118"/>
      <c r="S154" s="118"/>
      <c r="T154" s="118"/>
    </row>
    <row r="155" spans="13:20" x14ac:dyDescent="0.25">
      <c r="M155" s="86"/>
      <c r="N155" s="86"/>
      <c r="P155" s="118"/>
      <c r="Q155" s="118"/>
      <c r="R155" s="118"/>
      <c r="S155" s="118"/>
      <c r="T155" s="118"/>
    </row>
    <row r="156" spans="13:20" x14ac:dyDescent="0.25">
      <c r="M156" s="88"/>
      <c r="N156" s="88"/>
      <c r="P156" s="118"/>
      <c r="Q156" s="118"/>
      <c r="R156" s="118"/>
      <c r="S156" s="118"/>
      <c r="T156" s="118"/>
    </row>
  </sheetData>
  <mergeCells count="1">
    <mergeCell ref="C10:F10"/>
  </mergeCells>
  <phoneticPr fontId="5" type="noConversion"/>
  <printOptions horizontalCentered="1"/>
  <pageMargins left="0.75" right="0.75" top="1" bottom="1" header="0.5" footer="0.5"/>
  <pageSetup scale="70" fitToHeight="2" orientation="portrait" r:id="rId1"/>
  <headerFooter alignWithMargins="0">
    <oddFooter>&amp;C&amp;F
&amp;   Water Management Cash Flow Sheet 3
&amp;
Page &amp;P of &amp;N</oddFooter>
  </headerFooter>
  <rowBreaks count="1" manualBreakCount="1">
    <brk id="84" min="12" max="34"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26"/>
  <sheetViews>
    <sheetView tabSelected="1" workbookViewId="0">
      <selection activeCell="D10" sqref="D10"/>
    </sheetView>
  </sheetViews>
  <sheetFormatPr defaultColWidth="9" defaultRowHeight="15.6" x14ac:dyDescent="0.3"/>
  <cols>
    <col min="1" max="1" width="15.296875" style="119" customWidth="1"/>
    <col min="2" max="2" width="31.19921875" style="119" customWidth="1"/>
    <col min="3" max="3" width="5.3984375" style="119" customWidth="1"/>
    <col min="4" max="4" width="11.8984375" style="119" customWidth="1"/>
    <col min="5" max="5" width="9.3984375" style="119" customWidth="1"/>
    <col min="6" max="16384" width="9" style="3"/>
  </cols>
  <sheetData>
    <row r="1" spans="1:5" x14ac:dyDescent="0.3">
      <c r="E1" s="120" t="s">
        <v>257</v>
      </c>
    </row>
    <row r="2" spans="1:5" x14ac:dyDescent="0.3">
      <c r="A2" s="90"/>
      <c r="E2" s="92" t="s">
        <v>180</v>
      </c>
    </row>
    <row r="3" spans="1:5" x14ac:dyDescent="0.3">
      <c r="A3" s="218"/>
      <c r="E3" s="256">
        <v>43553</v>
      </c>
    </row>
    <row r="4" spans="1:5" x14ac:dyDescent="0.3">
      <c r="A4" s="218" t="s">
        <v>294</v>
      </c>
    </row>
    <row r="5" spans="1:5" x14ac:dyDescent="0.3">
      <c r="A5" s="219"/>
    </row>
    <row r="6" spans="1:5" x14ac:dyDescent="0.3">
      <c r="A6" s="218" t="s">
        <v>49</v>
      </c>
      <c r="B6" s="3"/>
      <c r="C6" s="3"/>
      <c r="D6" s="289" t="s">
        <v>171</v>
      </c>
    </row>
    <row r="7" spans="1:5" x14ac:dyDescent="0.3">
      <c r="A7" s="341" t="s">
        <v>172</v>
      </c>
      <c r="B7" s="340" t="s">
        <v>299</v>
      </c>
      <c r="D7" s="345">
        <f>'Summary Table'!B12</f>
        <v>168022</v>
      </c>
    </row>
    <row r="8" spans="1:5" ht="27" x14ac:dyDescent="0.3">
      <c r="A8" s="341" t="s">
        <v>172</v>
      </c>
      <c r="B8" s="340" t="s">
        <v>300</v>
      </c>
      <c r="D8" s="345">
        <f>'Summary Table'!B17</f>
        <v>208738</v>
      </c>
    </row>
    <row r="9" spans="1:5" x14ac:dyDescent="0.3">
      <c r="A9" s="342" t="s">
        <v>258</v>
      </c>
      <c r="B9" s="220" t="s">
        <v>256</v>
      </c>
      <c r="C9" s="221">
        <v>0.3</v>
      </c>
      <c r="D9" s="346">
        <f>C9*SUM(D7:D8)</f>
        <v>113028</v>
      </c>
    </row>
    <row r="10" spans="1:5" x14ac:dyDescent="0.3">
      <c r="A10" s="343"/>
      <c r="B10" s="90"/>
      <c r="C10" s="289" t="s">
        <v>301</v>
      </c>
      <c r="D10" s="347">
        <f>SUM(D7:D9)</f>
        <v>489788</v>
      </c>
    </row>
    <row r="11" spans="1:5" x14ac:dyDescent="0.3">
      <c r="A11" s="343"/>
      <c r="D11" s="345"/>
    </row>
    <row r="12" spans="1:5" x14ac:dyDescent="0.3">
      <c r="A12" s="344" t="s">
        <v>149</v>
      </c>
      <c r="D12" s="345"/>
    </row>
    <row r="13" spans="1:5" ht="27" x14ac:dyDescent="0.3">
      <c r="A13" s="341" t="s">
        <v>172</v>
      </c>
      <c r="B13" s="340" t="s">
        <v>295</v>
      </c>
      <c r="D13" s="345">
        <f>SUM('Summary Table'!B19:B22)</f>
        <v>1000006.3846153847</v>
      </c>
    </row>
    <row r="14" spans="1:5" ht="27" x14ac:dyDescent="0.3">
      <c r="A14" s="341" t="s">
        <v>172</v>
      </c>
      <c r="B14" s="340" t="s">
        <v>335</v>
      </c>
      <c r="D14" s="345">
        <f>SUM('Summary Table'!B23:B24)</f>
        <v>408272</v>
      </c>
    </row>
    <row r="15" spans="1:5" x14ac:dyDescent="0.3">
      <c r="A15" s="342" t="s">
        <v>258</v>
      </c>
      <c r="B15" s="220" t="s">
        <v>256</v>
      </c>
      <c r="C15" s="221">
        <v>0.17499999999999999</v>
      </c>
      <c r="D15" s="346">
        <f>C15*SUM(D13:D14)</f>
        <v>246448.71730769231</v>
      </c>
    </row>
    <row r="16" spans="1:5" x14ac:dyDescent="0.3">
      <c r="A16" s="339"/>
      <c r="B16" s="90"/>
      <c r="C16" s="289" t="s">
        <v>293</v>
      </c>
      <c r="D16" s="348">
        <f>SUM(D13:D15)</f>
        <v>1654727.1019230771</v>
      </c>
    </row>
    <row r="17" spans="1:5" x14ac:dyDescent="0.3">
      <c r="A17" s="90"/>
      <c r="D17" s="349"/>
    </row>
    <row r="18" spans="1:5" x14ac:dyDescent="0.3">
      <c r="A18" s="90" t="s">
        <v>173</v>
      </c>
      <c r="D18" s="348">
        <f>ROUND(SUM(D10,D16),-3)</f>
        <v>2145000</v>
      </c>
    </row>
    <row r="20" spans="1:5" ht="42" customHeight="1" x14ac:dyDescent="0.3">
      <c r="A20" s="418" t="s">
        <v>338</v>
      </c>
      <c r="B20" s="418"/>
      <c r="C20" s="418"/>
      <c r="D20" s="418"/>
      <c r="E20" s="418"/>
    </row>
    <row r="21" spans="1:5" x14ac:dyDescent="0.3">
      <c r="D21" s="147"/>
    </row>
    <row r="22" spans="1:5" x14ac:dyDescent="0.3">
      <c r="A22" s="3"/>
      <c r="B22" s="3"/>
      <c r="C22" s="3"/>
      <c r="D22" s="3"/>
    </row>
    <row r="24" spans="1:5" x14ac:dyDescent="0.3">
      <c r="A24" s="3"/>
      <c r="B24" s="3"/>
      <c r="C24" s="3"/>
      <c r="D24" s="3"/>
    </row>
    <row r="25" spans="1:5" x14ac:dyDescent="0.3">
      <c r="A25" s="3"/>
      <c r="B25" s="3"/>
      <c r="C25" s="3"/>
      <c r="D25" s="3"/>
    </row>
    <row r="26" spans="1:5" ht="43.2" customHeight="1" x14ac:dyDescent="0.3">
      <c r="A26" s="3"/>
      <c r="B26" s="3"/>
      <c r="C26" s="3"/>
      <c r="D26" s="3"/>
    </row>
  </sheetData>
  <sheetProtection algorithmName="SHA-512" hashValue="FgNgJSZcXzeCZnHN/+3yvkkIYjQYA3vOpdavD2U/V6qw0bdYQ8V4XWCm2kLo9/dzQW31624mr7zh09pOiY377Q==" saltValue="SUtWUG9FwQLfff2lJxn2bA==" spinCount="100000" sheet="1" objects="1" scenarios="1"/>
  <mergeCells count="1">
    <mergeCell ref="A20:E20"/>
  </mergeCells>
  <pageMargins left="0.7" right="0.7" top="0.75" bottom="0.75" header="0.3" footer="0.3"/>
  <pageSetup orientation="portrait" r:id="rId1"/>
  <headerFooter>
    <oddFooter>&amp;C&amp;F
&amp;   Water Management Summary Sheet 4
&amp;
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F44"/>
  <sheetViews>
    <sheetView workbookViewId="0">
      <selection activeCell="D6" sqref="D6"/>
    </sheetView>
  </sheetViews>
  <sheetFormatPr defaultColWidth="8" defaultRowHeight="13.2" x14ac:dyDescent="0.25"/>
  <cols>
    <col min="1" max="1" width="2.59765625" style="222" customWidth="1"/>
    <col min="2" max="2" width="27.796875" style="222" customWidth="1"/>
    <col min="3" max="3" width="8.8984375" style="222" customWidth="1"/>
    <col min="4" max="4" width="13.19921875" style="222" customWidth="1"/>
    <col min="5" max="5" width="16.69921875" style="245" customWidth="1"/>
    <col min="6" max="6" width="88.19921875" style="222" customWidth="1"/>
    <col min="7" max="16384" width="8" style="222"/>
  </cols>
  <sheetData>
    <row r="2" spans="2:6" ht="13.8" thickBot="1" x14ac:dyDescent="0.3">
      <c r="B2" s="244" t="s">
        <v>65</v>
      </c>
      <c r="D2" s="263"/>
      <c r="E2" s="264"/>
    </row>
    <row r="3" spans="2:6" ht="17.25" customHeight="1" thickTop="1" x14ac:dyDescent="0.25">
      <c r="B3" s="421" t="s">
        <v>66</v>
      </c>
      <c r="C3" s="423" t="s">
        <v>217</v>
      </c>
      <c r="D3" s="425" t="s">
        <v>270</v>
      </c>
      <c r="E3" s="427" t="s">
        <v>271</v>
      </c>
      <c r="F3" s="419" t="s">
        <v>103</v>
      </c>
    </row>
    <row r="4" spans="2:6" ht="13.8" thickBot="1" x14ac:dyDescent="0.3">
      <c r="B4" s="422"/>
      <c r="C4" s="424"/>
      <c r="D4" s="426"/>
      <c r="E4" s="424"/>
      <c r="F4" s="420"/>
    </row>
    <row r="5" spans="2:6" s="246" customFormat="1" ht="13.8" thickTop="1" x14ac:dyDescent="0.25">
      <c r="B5" s="299" t="s">
        <v>67</v>
      </c>
      <c r="C5" s="300" t="s">
        <v>68</v>
      </c>
      <c r="D5" s="301">
        <v>179.92</v>
      </c>
      <c r="E5" s="302" t="s">
        <v>259</v>
      </c>
      <c r="F5" s="303" t="s">
        <v>219</v>
      </c>
    </row>
    <row r="6" spans="2:6" s="246" customFormat="1" x14ac:dyDescent="0.25">
      <c r="B6" s="304" t="s">
        <v>69</v>
      </c>
      <c r="C6" s="305" t="s">
        <v>68</v>
      </c>
      <c r="D6" s="306">
        <v>77.86</v>
      </c>
      <c r="E6" s="307" t="s">
        <v>260</v>
      </c>
      <c r="F6" s="308" t="s">
        <v>220</v>
      </c>
    </row>
    <row r="7" spans="2:6" s="246" customFormat="1" ht="26.4" x14ac:dyDescent="0.25">
      <c r="B7" s="259" t="s">
        <v>100</v>
      </c>
      <c r="C7" s="260" t="s">
        <v>68</v>
      </c>
      <c r="D7" s="293">
        <v>636.54000000000008</v>
      </c>
      <c r="E7" s="309">
        <v>337116336020</v>
      </c>
      <c r="F7" s="308" t="s">
        <v>221</v>
      </c>
    </row>
    <row r="8" spans="2:6" s="246" customFormat="1" x14ac:dyDescent="0.25">
      <c r="B8" s="304" t="s">
        <v>70</v>
      </c>
      <c r="C8" s="305" t="s">
        <v>68</v>
      </c>
      <c r="D8" s="306">
        <v>1108.74</v>
      </c>
      <c r="E8" s="309">
        <v>337116236010</v>
      </c>
      <c r="F8" s="308" t="s">
        <v>222</v>
      </c>
    </row>
    <row r="9" spans="2:6" s="246" customFormat="1" ht="26.4" x14ac:dyDescent="0.25">
      <c r="B9" s="304" t="s">
        <v>71</v>
      </c>
      <c r="C9" s="305" t="s">
        <v>68</v>
      </c>
      <c r="D9" s="306">
        <v>1.7053030303030303</v>
      </c>
      <c r="E9" s="310">
        <v>337116339000</v>
      </c>
      <c r="F9" s="311" t="s">
        <v>263</v>
      </c>
    </row>
    <row r="10" spans="2:6" s="246" customFormat="1" ht="26.4" x14ac:dyDescent="0.25">
      <c r="B10" s="259" t="s">
        <v>129</v>
      </c>
      <c r="C10" s="260" t="s">
        <v>68</v>
      </c>
      <c r="D10" s="293">
        <v>301.39999999999998</v>
      </c>
      <c r="E10" s="309">
        <v>337116337600</v>
      </c>
      <c r="F10" s="308" t="s">
        <v>223</v>
      </c>
    </row>
    <row r="11" spans="2:6" s="246" customFormat="1" x14ac:dyDescent="0.25">
      <c r="B11" s="304" t="s">
        <v>72</v>
      </c>
      <c r="C11" s="305" t="s">
        <v>237</v>
      </c>
      <c r="D11" s="306">
        <v>509.28999999999996</v>
      </c>
      <c r="E11" s="309">
        <v>337139130110</v>
      </c>
      <c r="F11" s="308" t="s">
        <v>224</v>
      </c>
    </row>
    <row r="12" spans="2:6" s="246" customFormat="1" x14ac:dyDescent="0.25">
      <c r="B12" s="304" t="s">
        <v>73</v>
      </c>
      <c r="C12" s="305" t="s">
        <v>237</v>
      </c>
      <c r="D12" s="306">
        <v>14307.119999999999</v>
      </c>
      <c r="E12" s="309">
        <v>337139130150</v>
      </c>
      <c r="F12" s="308" t="s">
        <v>225</v>
      </c>
    </row>
    <row r="13" spans="2:6" s="246" customFormat="1" x14ac:dyDescent="0.25">
      <c r="B13" s="304" t="s">
        <v>182</v>
      </c>
      <c r="C13" s="305" t="s">
        <v>236</v>
      </c>
      <c r="D13" s="306">
        <v>270.34999999999997</v>
      </c>
      <c r="E13" s="309">
        <v>337139130810</v>
      </c>
      <c r="F13" s="308" t="s">
        <v>226</v>
      </c>
    </row>
    <row r="14" spans="2:6" s="246" customFormat="1" x14ac:dyDescent="0.25">
      <c r="B14" s="304" t="s">
        <v>74</v>
      </c>
      <c r="C14" s="305" t="s">
        <v>68</v>
      </c>
      <c r="D14" s="306">
        <v>4885.68</v>
      </c>
      <c r="E14" s="309">
        <v>337126264100</v>
      </c>
      <c r="F14" s="308" t="s">
        <v>227</v>
      </c>
    </row>
    <row r="15" spans="2:6" s="246" customFormat="1" ht="39.6" x14ac:dyDescent="0.25">
      <c r="B15" s="332" t="s">
        <v>279</v>
      </c>
      <c r="C15" s="305" t="s">
        <v>79</v>
      </c>
      <c r="D15" s="306">
        <v>3.75</v>
      </c>
      <c r="E15" s="307" t="s">
        <v>274</v>
      </c>
      <c r="F15" s="308" t="s">
        <v>281</v>
      </c>
    </row>
    <row r="16" spans="2:6" s="247" customFormat="1" ht="26.4" x14ac:dyDescent="0.3">
      <c r="B16" s="259" t="s">
        <v>265</v>
      </c>
      <c r="C16" s="260" t="s">
        <v>76</v>
      </c>
      <c r="D16" s="293">
        <v>7.17</v>
      </c>
      <c r="E16" s="260" t="s">
        <v>266</v>
      </c>
      <c r="F16" s="292" t="s">
        <v>269</v>
      </c>
    </row>
    <row r="17" spans="2:6" s="246" customFormat="1" ht="13.5" customHeight="1" x14ac:dyDescent="0.25">
      <c r="B17" s="304" t="s">
        <v>77</v>
      </c>
      <c r="C17" s="305" t="s">
        <v>75</v>
      </c>
      <c r="D17" s="306">
        <f>1.39</f>
        <v>1.39</v>
      </c>
      <c r="E17" s="309">
        <v>310519531200</v>
      </c>
      <c r="F17" s="308" t="s">
        <v>239</v>
      </c>
    </row>
    <row r="18" spans="2:6" s="246" customFormat="1" ht="26.4" x14ac:dyDescent="0.25">
      <c r="B18" s="304" t="s">
        <v>139</v>
      </c>
      <c r="C18" s="305" t="s">
        <v>79</v>
      </c>
      <c r="D18" s="312">
        <f>319.33*250</f>
        <v>79832.5</v>
      </c>
      <c r="E18" s="309">
        <v>323213103100</v>
      </c>
      <c r="F18" s="311" t="s">
        <v>267</v>
      </c>
    </row>
    <row r="19" spans="2:6" s="246" customFormat="1" x14ac:dyDescent="0.25">
      <c r="B19" s="304" t="s">
        <v>78</v>
      </c>
      <c r="C19" s="305" t="s">
        <v>68</v>
      </c>
      <c r="D19" s="312">
        <v>324459</v>
      </c>
      <c r="E19" s="309">
        <v>331623131000</v>
      </c>
      <c r="F19" s="308" t="s">
        <v>283</v>
      </c>
    </row>
    <row r="20" spans="2:6" s="249" customFormat="1" x14ac:dyDescent="0.25">
      <c r="B20" s="248" t="s">
        <v>316</v>
      </c>
      <c r="C20" s="313" t="s">
        <v>68</v>
      </c>
      <c r="D20" s="328">
        <f>10000</f>
        <v>10000</v>
      </c>
      <c r="E20" s="314" t="s">
        <v>51</v>
      </c>
      <c r="F20" s="315" t="s">
        <v>315</v>
      </c>
    </row>
    <row r="21" spans="2:6" s="249" customFormat="1" x14ac:dyDescent="0.25">
      <c r="B21" s="248" t="s">
        <v>316</v>
      </c>
      <c r="C21" s="313" t="s">
        <v>68</v>
      </c>
      <c r="D21" s="328">
        <f>15000</f>
        <v>15000</v>
      </c>
      <c r="E21" s="314" t="s">
        <v>51</v>
      </c>
      <c r="F21" s="315" t="s">
        <v>314</v>
      </c>
    </row>
    <row r="22" spans="2:6" s="249" customFormat="1" x14ac:dyDescent="0.25">
      <c r="B22" s="248" t="s">
        <v>316</v>
      </c>
      <c r="C22" s="313" t="s">
        <v>68</v>
      </c>
      <c r="D22" s="328">
        <f>25000</f>
        <v>25000</v>
      </c>
      <c r="E22" s="314" t="s">
        <v>51</v>
      </c>
      <c r="F22" s="315" t="s">
        <v>313</v>
      </c>
    </row>
    <row r="23" spans="2:6" s="249" customFormat="1" x14ac:dyDescent="0.25">
      <c r="B23" s="248" t="s">
        <v>316</v>
      </c>
      <c r="C23" s="313" t="s">
        <v>68</v>
      </c>
      <c r="D23" s="328">
        <f>30000</f>
        <v>30000</v>
      </c>
      <c r="E23" s="314" t="s">
        <v>51</v>
      </c>
      <c r="F23" s="315" t="s">
        <v>312</v>
      </c>
    </row>
    <row r="24" spans="2:6" s="122" customFormat="1" x14ac:dyDescent="0.25">
      <c r="B24" s="250" t="s">
        <v>80</v>
      </c>
      <c r="C24" s="316" t="s">
        <v>79</v>
      </c>
      <c r="D24" s="293">
        <v>7.32</v>
      </c>
      <c r="E24" s="309">
        <v>331413350100</v>
      </c>
      <c r="F24" s="308" t="s">
        <v>228</v>
      </c>
    </row>
    <row r="25" spans="2:6" s="122" customFormat="1" x14ac:dyDescent="0.25">
      <c r="B25" s="250" t="s">
        <v>80</v>
      </c>
      <c r="C25" s="316" t="s">
        <v>79</v>
      </c>
      <c r="D25" s="293">
        <v>11.209999999999999</v>
      </c>
      <c r="E25" s="309">
        <v>331413350200</v>
      </c>
      <c r="F25" s="308" t="s">
        <v>229</v>
      </c>
    </row>
    <row r="26" spans="2:6" s="122" customFormat="1" x14ac:dyDescent="0.25">
      <c r="B26" s="250" t="s">
        <v>80</v>
      </c>
      <c r="C26" s="316" t="s">
        <v>79</v>
      </c>
      <c r="D26" s="293">
        <v>15.780000000000001</v>
      </c>
      <c r="E26" s="309">
        <v>331413350300</v>
      </c>
      <c r="F26" s="308" t="s">
        <v>230</v>
      </c>
    </row>
    <row r="27" spans="2:6" s="122" customFormat="1" x14ac:dyDescent="0.25">
      <c r="B27" s="250" t="s">
        <v>80</v>
      </c>
      <c r="C27" s="316" t="s">
        <v>79</v>
      </c>
      <c r="D27" s="293">
        <v>19.169999999999998</v>
      </c>
      <c r="E27" s="309">
        <v>331413350400</v>
      </c>
      <c r="F27" s="308" t="s">
        <v>231</v>
      </c>
    </row>
    <row r="28" spans="2:6" s="122" customFormat="1" x14ac:dyDescent="0.25">
      <c r="B28" s="250" t="s">
        <v>80</v>
      </c>
      <c r="C28" s="316" t="s">
        <v>79</v>
      </c>
      <c r="D28" s="293">
        <v>22.060000000000002</v>
      </c>
      <c r="E28" s="309">
        <v>331413350500</v>
      </c>
      <c r="F28" s="308" t="s">
        <v>232</v>
      </c>
    </row>
    <row r="29" spans="2:6" s="122" customFormat="1" x14ac:dyDescent="0.25">
      <c r="B29" s="250" t="s">
        <v>80</v>
      </c>
      <c r="C29" s="316" t="s">
        <v>79</v>
      </c>
      <c r="D29" s="293">
        <v>31.79</v>
      </c>
      <c r="E29" s="309">
        <v>331413350600</v>
      </c>
      <c r="F29" s="308" t="s">
        <v>233</v>
      </c>
    </row>
    <row r="30" spans="2:6" s="122" customFormat="1" x14ac:dyDescent="0.25">
      <c r="B30" s="250" t="s">
        <v>80</v>
      </c>
      <c r="C30" s="316" t="s">
        <v>79</v>
      </c>
      <c r="D30" s="293">
        <v>39.269999999999996</v>
      </c>
      <c r="E30" s="309">
        <v>331413350700</v>
      </c>
      <c r="F30" s="308" t="s">
        <v>234</v>
      </c>
    </row>
    <row r="31" spans="2:6" s="122" customFormat="1" ht="26.4" x14ac:dyDescent="0.25">
      <c r="B31" s="250" t="s">
        <v>87</v>
      </c>
      <c r="C31" s="316" t="s">
        <v>79</v>
      </c>
      <c r="D31" s="293">
        <v>260.76</v>
      </c>
      <c r="E31" s="317" t="s">
        <v>262</v>
      </c>
      <c r="F31" s="318" t="s">
        <v>261</v>
      </c>
    </row>
    <row r="32" spans="2:6" s="251" customFormat="1" x14ac:dyDescent="0.25">
      <c r="B32" s="261" t="s">
        <v>120</v>
      </c>
      <c r="C32" s="262" t="s">
        <v>119</v>
      </c>
      <c r="D32" s="294">
        <v>5.8700000000000002E-2</v>
      </c>
      <c r="E32" s="314" t="s">
        <v>51</v>
      </c>
      <c r="F32" s="319" t="s">
        <v>268</v>
      </c>
    </row>
    <row r="33" spans="2:6" s="251" customFormat="1" x14ac:dyDescent="0.25">
      <c r="B33" s="320" t="s">
        <v>317</v>
      </c>
      <c r="C33" s="262" t="s">
        <v>68</v>
      </c>
      <c r="D33" s="328">
        <f>10000</f>
        <v>10000</v>
      </c>
      <c r="E33" s="314" t="s">
        <v>51</v>
      </c>
      <c r="F33" s="319" t="s">
        <v>311</v>
      </c>
    </row>
    <row r="34" spans="2:6" s="122" customFormat="1" ht="26.4" x14ac:dyDescent="0.25">
      <c r="B34" s="321" t="s">
        <v>264</v>
      </c>
      <c r="C34" s="316" t="s">
        <v>102</v>
      </c>
      <c r="D34" s="322">
        <v>2.34</v>
      </c>
      <c r="E34" s="323" t="s">
        <v>51</v>
      </c>
      <c r="F34" s="318" t="s">
        <v>282</v>
      </c>
    </row>
    <row r="35" spans="2:6" s="251" customFormat="1" x14ac:dyDescent="0.25">
      <c r="B35" s="252" t="s">
        <v>318</v>
      </c>
      <c r="C35" s="262" t="s">
        <v>118</v>
      </c>
      <c r="D35" s="328">
        <f>60</f>
        <v>60</v>
      </c>
      <c r="E35" s="314" t="s">
        <v>51</v>
      </c>
      <c r="F35" s="319" t="s">
        <v>311</v>
      </c>
    </row>
    <row r="36" spans="2:6" s="251" customFormat="1" x14ac:dyDescent="0.25">
      <c r="B36" s="252" t="s">
        <v>319</v>
      </c>
      <c r="C36" s="262" t="s">
        <v>118</v>
      </c>
      <c r="D36" s="328">
        <f>70</f>
        <v>70</v>
      </c>
      <c r="E36" s="314" t="s">
        <v>51</v>
      </c>
      <c r="F36" s="319" t="s">
        <v>311</v>
      </c>
    </row>
    <row r="37" spans="2:6" s="122" customFormat="1" x14ac:dyDescent="0.25">
      <c r="B37" s="253" t="s">
        <v>86</v>
      </c>
      <c r="C37" s="254" t="s">
        <v>116</v>
      </c>
      <c r="D37" s="255">
        <f>'2 Sampling Cost'!C44</f>
        <v>280</v>
      </c>
      <c r="E37" s="254" t="s">
        <v>51</v>
      </c>
      <c r="F37" s="324" t="s">
        <v>310</v>
      </c>
    </row>
    <row r="38" spans="2:6" s="122" customFormat="1" ht="13.8" thickBot="1" x14ac:dyDescent="0.3">
      <c r="B38" s="265" t="s">
        <v>320</v>
      </c>
      <c r="C38" s="266" t="s">
        <v>117</v>
      </c>
      <c r="D38" s="325">
        <v>400</v>
      </c>
      <c r="E38" s="266" t="s">
        <v>51</v>
      </c>
      <c r="F38" s="326" t="s">
        <v>332</v>
      </c>
    </row>
    <row r="39" spans="2:6" ht="13.8" thickTop="1" x14ac:dyDescent="0.25">
      <c r="B39" s="288"/>
      <c r="E39" s="222"/>
      <c r="F39" s="291"/>
    </row>
    <row r="40" spans="2:6" x14ac:dyDescent="0.25">
      <c r="B40" s="295" t="s">
        <v>272</v>
      </c>
    </row>
    <row r="41" spans="2:6" x14ac:dyDescent="0.25">
      <c r="B41" s="296" t="s">
        <v>273</v>
      </c>
      <c r="C41" s="223"/>
      <c r="D41" s="223"/>
    </row>
    <row r="42" spans="2:6" x14ac:dyDescent="0.25">
      <c r="B42" s="297"/>
      <c r="C42" s="298"/>
      <c r="D42" s="298"/>
      <c r="E42" s="327"/>
      <c r="F42" s="329"/>
    </row>
    <row r="43" spans="2:6" x14ac:dyDescent="0.25">
      <c r="B43" s="297"/>
      <c r="C43" s="298"/>
      <c r="D43" s="298"/>
      <c r="E43" s="327"/>
    </row>
    <row r="44" spans="2:6" x14ac:dyDescent="0.25">
      <c r="F44" s="224"/>
    </row>
  </sheetData>
  <mergeCells count="5">
    <mergeCell ref="F3:F4"/>
    <mergeCell ref="B3:B4"/>
    <mergeCell ref="C3:C4"/>
    <mergeCell ref="D3:D4"/>
    <mergeCell ref="E3:E4"/>
  </mergeCells>
  <phoneticPr fontId="13" type="noConversion"/>
  <pageMargins left="0.7" right="0.7" top="0.75" bottom="0.75" header="0.3" footer="0.3"/>
  <pageSetup scale="74"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5"/>
  <sheetViews>
    <sheetView workbookViewId="0">
      <selection activeCell="D3" sqref="D3"/>
    </sheetView>
  </sheetViews>
  <sheetFormatPr defaultColWidth="9" defaultRowHeight="13.2" x14ac:dyDescent="0.25"/>
  <cols>
    <col min="1" max="1" width="27.5" style="119" customWidth="1"/>
    <col min="2" max="2" width="9.5" style="119" bestFit="1" customWidth="1"/>
    <col min="3" max="3" width="12.69921875" style="119" customWidth="1"/>
    <col min="4" max="4" width="13.8984375" style="119" customWidth="1"/>
    <col min="5" max="5" width="15.19921875" style="119" customWidth="1"/>
    <col min="6" max="6" width="13.8984375" style="119" customWidth="1"/>
    <col min="7" max="7" width="9" style="119"/>
    <col min="8" max="8" width="14.3984375" style="119" customWidth="1"/>
    <col min="9" max="9" width="14.19921875" style="119" customWidth="1"/>
    <col min="10" max="16384" width="9" style="119"/>
  </cols>
  <sheetData>
    <row r="1" spans="1:9" s="38" customFormat="1" ht="15.75" customHeight="1" x14ac:dyDescent="0.25"/>
    <row r="2" spans="1:9" s="38" customFormat="1" ht="15.75" customHeight="1" x14ac:dyDescent="0.25"/>
    <row r="3" spans="1:9" s="38" customFormat="1" ht="15.75" customHeight="1" x14ac:dyDescent="0.3">
      <c r="A3" s="290" t="s">
        <v>170</v>
      </c>
      <c r="I3" s="92"/>
    </row>
    <row r="4" spans="1:9" ht="13.8" thickBot="1" x14ac:dyDescent="0.3"/>
    <row r="5" spans="1:9" s="133" customFormat="1" ht="46.5" customHeight="1" thickTop="1" x14ac:dyDescent="0.3">
      <c r="A5" s="428" t="s">
        <v>90</v>
      </c>
      <c r="B5" s="430" t="s">
        <v>218</v>
      </c>
      <c r="C5" s="430" t="s">
        <v>146</v>
      </c>
      <c r="D5" s="432" t="s">
        <v>99</v>
      </c>
    </row>
    <row r="6" spans="1:9" ht="13.8" thickBot="1" x14ac:dyDescent="0.3">
      <c r="A6" s="429"/>
      <c r="B6" s="431"/>
      <c r="C6" s="431"/>
      <c r="D6" s="433"/>
    </row>
    <row r="7" spans="1:9" ht="13.8" thickTop="1" x14ac:dyDescent="0.25">
      <c r="A7" s="225" t="s">
        <v>298</v>
      </c>
      <c r="B7" s="333"/>
      <c r="C7" s="68">
        <v>0.3</v>
      </c>
      <c r="D7" s="226"/>
    </row>
    <row r="8" spans="1:9" x14ac:dyDescent="0.25">
      <c r="A8" s="227" t="s">
        <v>292</v>
      </c>
      <c r="B8" s="334">
        <f>ROUND('1 Reclamation and O&amp;M costs'!$Q$39,0)</f>
        <v>168022</v>
      </c>
      <c r="C8" s="228">
        <f>$C$7*B8</f>
        <v>50406.6</v>
      </c>
      <c r="D8" s="229">
        <f>B8+C8</f>
        <v>218428.6</v>
      </c>
    </row>
    <row r="9" spans="1:9" x14ac:dyDescent="0.25">
      <c r="A9" s="227" t="s">
        <v>91</v>
      </c>
      <c r="B9" s="334">
        <f>ROUND('1 Reclamation and O&amp;M costs'!P$90,0)</f>
        <v>0</v>
      </c>
      <c r="C9" s="228">
        <f>$C$7*B9</f>
        <v>0</v>
      </c>
      <c r="D9" s="229">
        <f t="shared" ref="D9:D11" si="0">B9+C9</f>
        <v>0</v>
      </c>
    </row>
    <row r="10" spans="1:9" x14ac:dyDescent="0.25">
      <c r="A10" s="227" t="s">
        <v>26</v>
      </c>
      <c r="B10" s="334">
        <f>'1 Reclamation and O&amp;M costs'!Q117</f>
        <v>0</v>
      </c>
      <c r="C10" s="228">
        <f>$C$7*B10</f>
        <v>0</v>
      </c>
      <c r="D10" s="229">
        <f t="shared" si="0"/>
        <v>0</v>
      </c>
    </row>
    <row r="11" spans="1:9" x14ac:dyDescent="0.25">
      <c r="A11" s="227" t="s">
        <v>148</v>
      </c>
      <c r="B11" s="334">
        <v>0</v>
      </c>
      <c r="C11" s="228">
        <f>$C$7*B11</f>
        <v>0</v>
      </c>
      <c r="D11" s="229">
        <f t="shared" si="0"/>
        <v>0</v>
      </c>
    </row>
    <row r="12" spans="1:9" ht="13.8" thickBot="1" x14ac:dyDescent="0.3">
      <c r="A12" s="377" t="s">
        <v>153</v>
      </c>
      <c r="B12" s="378">
        <f>SUM(B8:B11)</f>
        <v>168022</v>
      </c>
      <c r="C12" s="379">
        <f>SUM(C8:C11)</f>
        <v>50406.6</v>
      </c>
      <c r="D12" s="380">
        <f>B12+C12</f>
        <v>218428.6</v>
      </c>
      <c r="H12" s="121"/>
    </row>
    <row r="13" spans="1:9" ht="15.6" x14ac:dyDescent="0.25">
      <c r="A13" s="381" t="s">
        <v>302</v>
      </c>
      <c r="B13" s="382"/>
      <c r="C13" s="383"/>
      <c r="D13" s="384"/>
    </row>
    <row r="14" spans="1:9" x14ac:dyDescent="0.25">
      <c r="A14" s="227" t="s">
        <v>91</v>
      </c>
      <c r="B14" s="334">
        <f>ROUND('1 Reclamation and O&amp;M costs'!$S$90,0)</f>
        <v>0</v>
      </c>
      <c r="C14" s="228">
        <f t="shared" ref="C14:C16" si="1">$C$7*B14</f>
        <v>0</v>
      </c>
      <c r="D14" s="229">
        <f>B14+C14</f>
        <v>0</v>
      </c>
    </row>
    <row r="15" spans="1:9" x14ac:dyDescent="0.25">
      <c r="A15" s="227" t="s">
        <v>26</v>
      </c>
      <c r="B15" s="334">
        <f>ROUND('1 Reclamation and O&amp;M costs'!$T$117,0)</f>
        <v>157440</v>
      </c>
      <c r="C15" s="228">
        <f t="shared" si="1"/>
        <v>47232</v>
      </c>
      <c r="D15" s="229">
        <f>B15+C15</f>
        <v>204672</v>
      </c>
    </row>
    <row r="16" spans="1:9" x14ac:dyDescent="0.25">
      <c r="A16" s="227" t="s">
        <v>35</v>
      </c>
      <c r="B16" s="334">
        <f>ROUND('1 Reclamation and O&amp;M costs'!$Q$134,0)</f>
        <v>51298</v>
      </c>
      <c r="C16" s="228">
        <f t="shared" si="1"/>
        <v>15389.4</v>
      </c>
      <c r="D16" s="229">
        <f>B16+C16</f>
        <v>66687.399999999994</v>
      </c>
    </row>
    <row r="17" spans="1:9" ht="13.8" thickBot="1" x14ac:dyDescent="0.3">
      <c r="A17" s="230" t="s">
        <v>153</v>
      </c>
      <c r="B17" s="335">
        <f>SUM(B14:B16)</f>
        <v>208738</v>
      </c>
      <c r="C17" s="231">
        <f>SUM(C14:C16)</f>
        <v>62621.4</v>
      </c>
      <c r="D17" s="232">
        <f>B17+C17</f>
        <v>271359.40000000002</v>
      </c>
      <c r="H17" s="121"/>
    </row>
    <row r="18" spans="1:9" ht="13.8" thickTop="1" x14ac:dyDescent="0.25">
      <c r="A18" s="233" t="s">
        <v>149</v>
      </c>
      <c r="B18" s="336"/>
      <c r="C18" s="68">
        <v>0.17499999999999999</v>
      </c>
      <c r="D18" s="234"/>
    </row>
    <row r="19" spans="1:9" x14ac:dyDescent="0.25">
      <c r="A19" s="227" t="s">
        <v>147</v>
      </c>
      <c r="B19" s="334">
        <f>ROUND('1 Reclamation and O&amp;M costs'!$S$39,0)</f>
        <v>191405</v>
      </c>
      <c r="C19" s="228">
        <f>ROUND($C$18*B19,0)</f>
        <v>33496</v>
      </c>
      <c r="D19" s="229">
        <f t="shared" ref="D19:D25" si="2">B19+C19</f>
        <v>224901</v>
      </c>
      <c r="H19" s="121"/>
    </row>
    <row r="20" spans="1:9" x14ac:dyDescent="0.25">
      <c r="A20" s="227" t="s">
        <v>91</v>
      </c>
      <c r="B20" s="334">
        <f>'1 Reclamation and O&amp;M costs'!$R$90</f>
        <v>544615.38461538474</v>
      </c>
      <c r="C20" s="228">
        <f>ROUND($C$18*B20,0)</f>
        <v>95308</v>
      </c>
      <c r="D20" s="229">
        <f t="shared" si="2"/>
        <v>639923.38461538474</v>
      </c>
      <c r="H20" s="121"/>
    </row>
    <row r="21" spans="1:9" x14ac:dyDescent="0.25">
      <c r="A21" s="227" t="s">
        <v>26</v>
      </c>
      <c r="B21" s="334">
        <f>ROUND('1 Reclamation and O&amp;M costs'!$S$117,0)</f>
        <v>142143</v>
      </c>
      <c r="C21" s="228">
        <f>ROUND($C$18*B21,0)</f>
        <v>24875</v>
      </c>
      <c r="D21" s="229">
        <f t="shared" si="2"/>
        <v>167018</v>
      </c>
      <c r="H21" s="121"/>
    </row>
    <row r="22" spans="1:9" x14ac:dyDescent="0.25">
      <c r="A22" s="227" t="s">
        <v>35</v>
      </c>
      <c r="B22" s="334">
        <f>ROUND('1 Reclamation and O&amp;M costs'!$P$134,0)</f>
        <v>121843</v>
      </c>
      <c r="C22" s="235">
        <f>ROUND($C$18*B22,0)</f>
        <v>21323</v>
      </c>
      <c r="D22" s="229">
        <f t="shared" si="2"/>
        <v>143166</v>
      </c>
      <c r="H22" s="121"/>
    </row>
    <row r="23" spans="1:9" x14ac:dyDescent="0.25">
      <c r="A23" s="236" t="s">
        <v>334</v>
      </c>
      <c r="B23" s="337">
        <f>ROUND('1 Reclamation and O&amp;M costs'!$J$90+'1 Reclamation and O&amp;M costs'!$O$90,0)</f>
        <v>35074</v>
      </c>
      <c r="C23" s="235">
        <f t="shared" ref="C23:C24" si="3">ROUND($C$18*B23,0)</f>
        <v>6138</v>
      </c>
      <c r="D23" s="237">
        <f t="shared" si="2"/>
        <v>41212</v>
      </c>
      <c r="H23" s="121"/>
    </row>
    <row r="24" spans="1:9" x14ac:dyDescent="0.25">
      <c r="A24" s="227" t="s">
        <v>86</v>
      </c>
      <c r="B24" s="334">
        <f>'2 Sampling Cost'!$O$16</f>
        <v>373198</v>
      </c>
      <c r="C24" s="235">
        <f t="shared" si="3"/>
        <v>65310</v>
      </c>
      <c r="D24" s="229">
        <f t="shared" si="2"/>
        <v>438508</v>
      </c>
      <c r="H24" s="121"/>
    </row>
    <row r="25" spans="1:9" ht="13.8" thickBot="1" x14ac:dyDescent="0.3">
      <c r="A25" s="230" t="s">
        <v>153</v>
      </c>
      <c r="B25" s="338">
        <f>SUM(B19:B24)</f>
        <v>1408278.3846153847</v>
      </c>
      <c r="C25" s="238">
        <f>SUM(C19:C22,C23:C24)</f>
        <v>246450</v>
      </c>
      <c r="D25" s="239">
        <f t="shared" si="2"/>
        <v>1654728.3846153847</v>
      </c>
      <c r="E25" s="147"/>
      <c r="H25" s="121"/>
      <c r="I25" s="147"/>
    </row>
    <row r="26" spans="1:9" ht="14.4" thickTop="1" thickBot="1" x14ac:dyDescent="0.3">
      <c r="A26" s="240" t="s">
        <v>99</v>
      </c>
      <c r="B26" s="241">
        <f>ROUND(B25+B17+B12,-3)</f>
        <v>1785000</v>
      </c>
      <c r="C26" s="241">
        <f>ROUND(C25+C17+C12,-3)</f>
        <v>359000</v>
      </c>
      <c r="D26" s="242">
        <f>ROUND(D25+D17+D12,-3)</f>
        <v>2145000</v>
      </c>
    </row>
    <row r="27" spans="1:9" ht="15" thickTop="1" x14ac:dyDescent="0.25">
      <c r="A27" s="258" t="s">
        <v>238</v>
      </c>
      <c r="D27" s="243"/>
    </row>
    <row r="30" spans="1:9" x14ac:dyDescent="0.25">
      <c r="B30" s="243"/>
      <c r="C30" s="243"/>
      <c r="E30" s="243"/>
    </row>
    <row r="31" spans="1:9" x14ac:dyDescent="0.25">
      <c r="H31" s="147"/>
      <c r="I31" s="147"/>
    </row>
    <row r="32" spans="1:9" x14ac:dyDescent="0.25">
      <c r="H32" s="147"/>
    </row>
    <row r="33" spans="2:8" x14ac:dyDescent="0.25">
      <c r="H33" s="147"/>
    </row>
    <row r="34" spans="2:8" x14ac:dyDescent="0.25">
      <c r="B34" s="147"/>
    </row>
    <row r="35" spans="2:8" x14ac:dyDescent="0.25">
      <c r="H35" s="243"/>
    </row>
  </sheetData>
  <mergeCells count="4">
    <mergeCell ref="A5:A6"/>
    <mergeCell ref="B5:B6"/>
    <mergeCell ref="C5:C6"/>
    <mergeCell ref="D5:D6"/>
  </mergeCells>
  <phoneticPr fontId="12" type="noConversion"/>
  <pageMargins left="0.75" right="0.75" top="1" bottom="1" header="0.5" footer="0.5"/>
  <pageSetup scale="78"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7</vt:i4>
      </vt:variant>
    </vt:vector>
  </HeadingPairs>
  <TitlesOfParts>
    <vt:vector size="13" baseType="lpstr">
      <vt:lpstr>1 Reclamation and O&amp;M costs</vt:lpstr>
      <vt:lpstr>2 Sampling Cost</vt:lpstr>
      <vt:lpstr>3 WM cash flow</vt:lpstr>
      <vt:lpstr>4 Summary</vt:lpstr>
      <vt:lpstr>Unit Cost Table</vt:lpstr>
      <vt:lpstr>Summary Table</vt:lpstr>
      <vt:lpstr>'1 Reclamation and O&amp;M costs'!Print_Area</vt:lpstr>
      <vt:lpstr>'2 Sampling Cost'!Print_Area</vt:lpstr>
      <vt:lpstr>'3 WM cash flow'!Print_Area</vt:lpstr>
      <vt:lpstr>'Summary Table'!Print_Area</vt:lpstr>
      <vt:lpstr>'Unit Cost Table'!Print_Area</vt:lpstr>
      <vt:lpstr>'1 Reclamation and O&amp;M costs'!Print_Titles</vt:lpstr>
      <vt:lpstr>'3 WM cash flow'!Print_Titles</vt:lpstr>
    </vt:vector>
  </TitlesOfParts>
  <Company>M3 Engineering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US price levels 1900-est. 2010, with 2000 = 100</dc:title>
  <dc:creator>m3user</dc:creator>
  <cp:lastModifiedBy>Chino</cp:lastModifiedBy>
  <cp:lastPrinted>2019-03-28T15:15:54Z</cp:lastPrinted>
  <dcterms:created xsi:type="dcterms:W3CDTF">1998-11-05T19:00:04Z</dcterms:created>
  <dcterms:modified xsi:type="dcterms:W3CDTF">2019-04-02T15:05:27Z</dcterms:modified>
</cp:coreProperties>
</file>