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asis" sheetId="1" state="visible" r:id="rId3"/>
    <sheet name="Notes" sheetId="2" state="visible" r:id="rId4"/>
    <sheet name="Drivers" sheetId="3" state="visible" r:id="rId5"/>
    <sheet name="Liability" sheetId="4" state="visible" r:id="rId6"/>
    <sheet name="Credit" sheetId="5" state="visible" r:id="rId7"/>
    <sheet name="Reviews" sheetId="6" state="visible" r:id="rId8"/>
    <sheet name="Glossary"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<sst xmlns="http://schemas.openxmlformats.org/spreadsheetml/2006/main" count="272" uniqueCount="224">
  <si>
    <t xml:space="preserve">NMCC-FIN-FA-007 — Progressive Financial Assurance Liability Model, Rev E (SRCE September 2026 r0 phased to the MORP mine plan; 25 Oct 2026)</t>
  </si>
  <si>
    <t xml:space="preserve">This workbook builds the progressive financial assurance schedule from the September 2026 SRCE (r0) and the MORP mine plan. Each SRCE account is tied to a physical driver from MORP Tables 3 and 4 so that liability grows only as the corresponding disturbance is created. Yellow cells are inputs (SRCE directs, MORP quantities, credit weights). Green cells are calculated. Orange cells are totals. Everything is in 2026 dollars; each three-year review re-prices to then-current dollars. Tranche 1 uses the NMED-approved Existing Conditions Closure Plan amount ($5,728,244). From Tranche 2 onward the model uses the full September 2026 SRCE.</t>
  </si>
  <si>
    <t xml:space="preserve">SRCE r0 account (2026 Financial Assurance Calculation, Table 1 / Acct Codes sheet)</t>
  </si>
  <si>
    <t xml:space="preserve">Direct ($)</t>
  </si>
  <si>
    <t xml:space="preserve">Liability driver (this model)</t>
  </si>
  <si>
    <t xml:space="preserve">SRCE composition (FA Schedule sheet)</t>
  </si>
  <si>
    <t xml:space="preserve">Waste rock — existing stockpiles (EWRSP-1, -2A, -2B, -3, -4)</t>
  </si>
  <si>
    <t xml:space="preserve">In place at issuance (100%)</t>
  </si>
  <si>
    <t xml:space="preserve">EWRSP regrade/cover/reveg $1,764,511; EWRSP channels $956,787; EWRSP-2A relocation $59,724; EWRSP setback/armor $120,058; yards $32,426</t>
  </si>
  <si>
    <t xml:space="preserve">Waste rock — new stockpiles WRSP-1, -2, -3</t>
  </si>
  <si>
    <t xml:space="preserve">Cumulative waste tons placed ÷ 44,682,000 st (MORP Table 3)</t>
  </si>
  <si>
    <t xml:space="preserve">WRSP regrade/cover/reveg $3,653,352; WRSP channels $4,302,307; ACB and slope armor $1,176,789; yards $3,765</t>
  </si>
  <si>
    <t xml:space="preserve">Waste rock account — site disturbance (growth-media stockpiles, land bridges, pit-perimeter disturbance)</t>
  </si>
  <si>
    <t xml:space="preserve">Construction: 60% 2028, 100% 2029 (MORP Table 4 Years 1–2)</t>
  </si>
  <si>
    <t xml:space="preserve">GM-01/02/03 footprints $279,757; land bridges $15,825; pit perimeter disturbance $113,897; channels $5,733; other $13,889</t>
  </si>
  <si>
    <t xml:space="preserve">Tailings storage facility (DSTSF)</t>
  </si>
  <si>
    <t xml:space="preserve">Cumulative DSTSF stage footprint constructed ÷ 487 ac (MORP Table 4 CST Phases 1–5)</t>
  </si>
  <si>
    <t xml:space="preserve">Stack regrade/cover/reveg $8,884,531; stormwater channels and dissipaters $5,528,634; ACB, slope armor, liner demolition, channel prep $1,053,228; yards $2,510</t>
  </si>
  <si>
    <t xml:space="preserve">Open pit (perimeter channel, ACB, pit-area reclamation, fence, signs)</t>
  </si>
  <si>
    <t xml:space="preserve">Cumulative pit disturbance ÷ 165 ac (MORP Table 4 Years 2, 3, 5, 6)</t>
  </si>
  <si>
    <t xml:space="preserve">ACB $4,094,005; pit areas reclaimed $795,993; perimeter channel PC-1 $581,820; fence and replacements $100,200; HC-5 $15,361; signs $2,282</t>
  </si>
  <si>
    <t xml:space="preserve">Pit rapid fill (pumping, 3 years)</t>
  </si>
  <si>
    <t xml:space="preserve">Attaches as the pit advances below the water table: 0% 2030, 25% 2031, 50% 2032, 75% 2033, 100% 2034 (planning assumption — PE to confirm from the pit schedule)</t>
  </si>
  <si>
    <t xml:space="preserve">Rapid fill Yr 1–3 $1,297,038; well-field pumping $196,110</t>
  </si>
  <si>
    <t xml:space="preserve">Buildings, foundations, tanks, process equipment demolition, mill decontamination</t>
  </si>
  <si>
    <t xml:space="preserve">Fixed at mechanical completion: 50% 2028, 100% 2029</t>
  </si>
  <si>
    <t xml:space="preserve">Buildings and foundations $3,103,538; tank and equipment demolition $547,758; mill decon $172,799; property fence $134,710</t>
  </si>
  <si>
    <t xml:space="preserve">Roads</t>
  </si>
  <si>
    <t xml:space="preserve">Construction: 60% 2028, 100% 2029</t>
  </si>
  <si>
    <t xml:space="preserve">Road reclamation $71,050; regrading $16,298</t>
  </si>
  <si>
    <t xml:space="preserve">Impoundments (SW-A/B/C, DSTSF seepage pond, PC-04)</t>
  </si>
  <si>
    <t xml:space="preserve">Construction: 60% 2028 (TSF pond, SW-A), 100% 2029 (SW-B, SW-C)</t>
  </si>
  <si>
    <t xml:space="preserve">Ponds $614,381; PC-04 $138,632</t>
  </si>
  <si>
    <t xml:space="preserve">Yards and plant-area disturbance</t>
  </si>
  <si>
    <t xml:space="preserve">Construction: 70% 2028, 100% 2029</t>
  </si>
  <si>
    <t xml:space="preserve">Plant disturbance $318,202; plant channels $566,402; pullback and land-bridge excavations $283,421; concentrator area $100,247; conveyor trench backfill $65,002; liner ditches $3,216</t>
  </si>
  <si>
    <t xml:space="preserve">Monitoring well closure and repair (55 wells)</t>
  </si>
  <si>
    <t xml:space="preserve">Existing network at issuance 80%; 100% 2029 (new wells)</t>
  </si>
  <si>
    <t xml:space="preserve">Well abandonment $297,289; repairs $31,200</t>
  </si>
  <si>
    <t xml:space="preserve">Waste disposal (solid, hazardous, used oils and fluids)</t>
  </si>
  <si>
    <t xml:space="preserve">100% 2029 (first operations)</t>
  </si>
  <si>
    <t xml:space="preserve">Oils and fluids $106,352; lab and solid waste $9,906</t>
  </si>
  <si>
    <t xml:space="preserve">Miscellaneous linear facilities (tailings conveyor, pipelines, on-site powerline)</t>
  </si>
  <si>
    <t xml:space="preserve">Construction: 40% 2028, 100% 2029</t>
  </si>
  <si>
    <t xml:space="preserve">Conveyor $1,625,000; pipelines $237,160; powerline $78,563</t>
  </si>
  <si>
    <t xml:space="preserve">Monitoring (100-year water-quality; 12-year reclamation performance)</t>
  </si>
  <si>
    <t xml:space="preserve">100% from construction start (DP-1840 post-closure obligation attaches with the facilities)</t>
  </si>
  <si>
    <t xml:space="preserve">Well monitoring $3,056,762; surface water $601,499; field work, reporting, DST and wildlife monitoring $180,990; pump $26,600</t>
  </si>
  <si>
    <t xml:space="preserve">Reclamation maintenance (cover repair 5%, reseeding 10%)</t>
  </si>
  <si>
    <t xml:space="preserve">Proportional to waste rock + DSTSF liability in place</t>
  </si>
  <si>
    <t xml:space="preserve">Growth media $601,935; revegetation $224,968; ditch maintenance $39,240</t>
  </si>
  <si>
    <t xml:space="preserve">Mobilization / demobilization</t>
  </si>
  <si>
    <t xml:space="preserve">100% from construction start (any reclamation contract mobilizes)</t>
  </si>
  <si>
    <t xml:space="preserve">Fleet per Exhibit 1</t>
  </si>
  <si>
    <t xml:space="preserve">Construction management (active reclamation)</t>
  </si>
  <si>
    <t xml:space="preserve">4.72% of all other direct liability in place (SRCE ratio)</t>
  </si>
  <si>
    <t xml:space="preserve">$721,358 + $1,610,083</t>
  </si>
  <si>
    <t xml:space="preserve">Riprap supply</t>
  </si>
  <si>
    <t xml:space="preserve">Proportional to waste rock + DSTSF + pit liability in place</t>
  </si>
  <si>
    <t xml:space="preserve">Supply $283,782; haul from pit $143,547</t>
  </si>
  <si>
    <t xml:space="preserve">Subtotal direct cost (SRCE r0: $51,707,185)</t>
  </si>
  <si>
    <t xml:space="preserve">Check against SRCE r0 subtotal</t>
  </si>
  <si>
    <t xml:space="preserve">Indirect rates (SRCE r0)</t>
  </si>
  <si>
    <t xml:space="preserve">Engineering, design and construction plan</t>
  </si>
  <si>
    <t xml:space="preserve">Contingency</t>
  </si>
  <si>
    <t xml:space="preserve">Contractor overhead and profit</t>
  </si>
  <si>
    <t xml:space="preserve">Contract administration and procurement</t>
  </si>
  <si>
    <t xml:space="preserve">Total indirect loading on direct</t>
  </si>
  <si>
    <t xml:space="preserve">Indirect cost at full build-out (SRCE r0: $16,511,662)</t>
  </si>
  <si>
    <t xml:space="preserve">Total reclamation cost, 2026 dollars (SRCE r0: $68,218,847)</t>
  </si>
  <si>
    <t xml:space="preserve">Financial assurance parameters</t>
  </si>
  <si>
    <t xml:space="preserve">Contingency on net liability (NMCC margin above the SRCE)</t>
  </si>
  <si>
    <t xml:space="preserve">Minimum contingency margin ($)</t>
  </si>
  <si>
    <t xml:space="preserve">Credit weight — Tier 1 and Tier 2 (earthwork and cover verified; seeded)</t>
  </si>
  <si>
    <t xml:space="preserve">Credit weight — Tier 3 and Tier 4 (vegetation success verified; partial release)</t>
  </si>
  <si>
    <t xml:space="preserve">Disturbed (bond) area (ac) — MORP Table 2</t>
  </si>
  <si>
    <t xml:space="preserve">Pit lake, not reclaimed (ac) — MORP Table 5</t>
  </si>
  <si>
    <t xml:space="preserve">Reclaimable area (ac) — credit denominator = disturbed area less pit lake</t>
  </si>
  <si>
    <t xml:space="preserve">Years from Tier 1 to Tier 3 verification (growing seasons)</t>
  </si>
  <si>
    <t xml:space="preserve">Construction management ratio to other directs (SRCE r0)</t>
  </si>
  <si>
    <t xml:space="preserve">Tranche 1 (permit issuance) — Existing Conditions Closure Plan SRCE, NMED-approved</t>
  </si>
  <si>
    <t xml:space="preserve">ECCP direct (Addendum rA, 18 Jun 2025, Table 1)</t>
  </si>
  <si>
    <t xml:space="preserve">ECCP indirect (3/5/7/10%)</t>
  </si>
  <si>
    <t xml:space="preserve">ECCP total — approved amount and letter-of-credit basis</t>
  </si>
  <si>
    <t xml:space="preserve">Letter of credit (DP-1840 C115.L)</t>
  </si>
  <si>
    <t xml:space="preserve">Calendar (MPR Rev 14 / MORP Table 4): MORP Year n = 2027 + n; production Year p = 2029 + p. Permit issuance Q4 2026; NTP 31 Dec 2027 (Year 1 = 2028); first ore 28 Feb 2030 (Year 3); end of mining Year 14 = 2041; post-operation reclamation Years 14–18 (2041–2045); post-closure monitoring from Year 19 (2046) for 100 years.</t>
  </si>
  <si>
    <t xml:space="preserve">How the model is built, and the assumptions behind it</t>
  </si>
  <si>
    <t xml:space="preserve">The main drivers</t>
  </si>
  <si>
    <t xml:space="preserve">•</t>
  </si>
  <si>
    <t xml:space="preserve">Waste rock liability grows with cumulative tons placed.</t>
  </si>
  <si>
    <t xml:space="preserve">DSTSF liability grows with stage footprint constructed (not with tons of tailings).</t>
  </si>
  <si>
    <t xml:space="preserve">Pit liability grows with cumulative pit disturbance.</t>
  </si>
  <si>
    <t xml:space="preserve">Buildings and plant demolition liability is fixed at mechanical completion.</t>
  </si>
  <si>
    <t xml:space="preserve">Pit rapid-fill liability attaches as the pit advances below the water table (planning assumption — PE to confirm).</t>
  </si>
  <si>
    <t xml:space="preserve">Monitoring, mobilization, and the long-term accounts attach when construction starts.</t>
  </si>
  <si>
    <t xml:space="preserve">Key assumptions</t>
  </si>
  <si>
    <t xml:space="preserve">DSTSF liability is driven by stage footprint constructed, not by tons of tailings placed. Using tons would lower the early postings; we kept the footprint basis because the liner and channels are the bulk of the cost and are built with the stage.</t>
  </si>
  <si>
    <t xml:space="preserve">Pit rapid-fill liability is phased in as a planning assumption (0% in 2030, rising to 100% in 2034). The PE will confirm the timing against the actual pit schedule.</t>
  </si>
  <si>
    <t xml:space="preserve">The 30% weight on Tier 1/2 and the three-year lag to Tier 3 are judgments. They can be changed in the yellow input cells on the Basis sheet if the agencies prefer different weights or a different verification period.</t>
  </si>
  <si>
    <t xml:space="preserve">The model does not credit reclamation beyond the permitted Table 4 sequence. Faster concurrent reclamation improves the credit only after NMMMD verifies it.</t>
  </si>
  <si>
    <t xml:space="preserve">Physical drivers by calendar year — MORP Rev 2 Table 3 (production schedule) and Table 4 (build-out and reclamation sequence)</t>
  </si>
  <si>
    <t xml:space="preserve">The driver sheet pulls quantities straight from MORP Tables 3 and 4. Waste rock and ore are annual production. DSTSF stage footprints, pit disturbance, and waste-rock footprints are the build-out sequence. Reclaimed acres follow the Table 4 reclamation sequence as permitted. We did not credit our accelerated reclamation target (240–280 acres by year 12) in the base case; the credit shown is only what the permitted sequence produces. If we reclaim faster and NMMMD verifies it, the credit will be higher at the reviews; the model does not assume that.</t>
  </si>
  <si>
    <t xml:space="preserve">Driver</t>
  </si>
  <si>
    <t xml:space="preserve">Total / unit</t>
  </si>
  <si>
    <t xml:space="preserve">MORP year</t>
  </si>
  <si>
    <t xml:space="preserve">Waste rock mined (st) — Table 3</t>
  </si>
  <si>
    <t xml:space="preserve">Ore processed / tailings produced (st) — Table 3</t>
  </si>
  <si>
    <t xml:space="preserve">DSTSF stage footprint constructed (ac) — Table 4 CST Phases 1–5</t>
  </si>
  <si>
    <t xml:space="preserve">Open pit disturbance (ac) — Table 4</t>
  </si>
  <si>
    <t xml:space="preserve">WRSP-1/2/3 footprint disturbed (ac) — Table 4</t>
  </si>
  <si>
    <t xml:space="preserve">Plant, ancillary, roads, impoundments, stockpiles disturbed (ac) — Table 4</t>
  </si>
  <si>
    <t xml:space="preserve">Acres reclaimed to Tier 1 (graded, covered, seeded) — Table 4 reclamation sequence</t>
  </si>
  <si>
    <t xml:space="preserve">  of which concurrent (during construction and operations, 2029–2040)</t>
  </si>
  <si>
    <t xml:space="preserve">  of which post-operation (2041–2045)</t>
  </si>
  <si>
    <t xml:space="preserve">Cumulative waste placed (fraction of LOM) → WRSP liability</t>
  </si>
  <si>
    <t xml:space="preserve">Cumulative tailings produced (fraction of LOM) — comparison basis for the DSTSF</t>
  </si>
  <si>
    <t xml:space="preserve">Cumulative DSTSF footprint constructed (fraction) → DSTSF liability</t>
  </si>
  <si>
    <t xml:space="preserve">Cumulative pit disturbance (fraction) → pit liability</t>
  </si>
  <si>
    <t xml:space="preserve">Construction accrual — buildings (mechanical completion Oct 2029)</t>
  </si>
  <si>
    <t xml:space="preserve">Construction accrual — yards</t>
  </si>
  <si>
    <t xml:space="preserve">Construction accrual — roads, impoundments, site disturbance</t>
  </si>
  <si>
    <t xml:space="preserve">Construction accrual — linear facilities (conveyor, pipelines, powerline)</t>
  </si>
  <si>
    <t xml:space="preserve">Wells — existing network at issuance, new wells by first ore</t>
  </si>
  <si>
    <t xml:space="preserve">Waste disposal — from first operations</t>
  </si>
  <si>
    <t xml:space="preserve">Mobilization and monitoring — from construction start</t>
  </si>
  <si>
    <t xml:space="preserve">Pit rapid fill — pit below water table (planning assumption)</t>
  </si>
  <si>
    <t xml:space="preserve">Existing stockpiles — in place at issuance</t>
  </si>
  <si>
    <t xml:space="preserve">Sources: MORP Update 2025 Rev 2 (22 Jun 2026) Tables 2, 3 and 4; MPR Rev 14 schedule (NTP 31 Dec 2027; first ore 28 Feb 2030). Reclaimed acres are the Table 4 sequence as permitted (36 ac existing stockpiles in Year 2; 20 ac DSTSF concurrent cover in Years 5, 7, 9, 11, 12; 10 ac/yr WRSP concurrent grading Years 9–13; post-operation Years 14–18). NMCC's accelerated target of 240–280 ac by operations Year 12 is not credited in the base case.</t>
  </si>
  <si>
    <t xml:space="preserve">In-place reclamation liability by calendar year — SRCE r0 directs × driver fraction (2026 dollars)</t>
  </si>
  <si>
    <t xml:space="preserve">Each cell = Basis!direct × Drivers!fraction at year end. Liability accrues when ground is disturbed or a facility is built, not when reclamation is scheduled.</t>
  </si>
  <si>
    <t xml:space="preserve">Account</t>
  </si>
  <si>
    <t xml:space="preserve">Direct liability in place</t>
  </si>
  <si>
    <t xml:space="preserve">Indirects (SRCE r0 loading)</t>
  </si>
  <si>
    <t xml:space="preserve">GROSS IN-PLACE LIABILITY (third-party, 2026 $)</t>
  </si>
  <si>
    <t xml:space="preserve">Gross as fraction of full life-of-mine calculation</t>
  </si>
  <si>
    <t xml:space="preserve">Long-term accounts held in full — monitoring, reclamation maintenance, wells — with indirects (not reduced by acreage credit)</t>
  </si>
  <si>
    <t xml:space="preserve">Credit base — gross in-place liability less the long-term accounts (the part acreage credit applies to)</t>
  </si>
  <si>
    <t xml:space="preserve">Tier-weighted verified reclamation credit by year end — MORP Table 4 reclamation sequence as the base case</t>
  </si>
  <si>
    <t xml:space="preserve">Credit is calculated only on NMMMD-verified acres and is applied only to the reclaimable portion of the liability (gross in-place less the long-term accounts). The long-term accounts stay in full until release. Acres that have reached Tier 1 or 2 in the last three years count at 30%. Acres whose Tier 1 date is at least three years earlier and that have met vegetation success count at 100%. Weighted acres are divided by the 1,117 reclaimable acres. The three-year lag from Tier 1 to Tier 3 is a planning assumption; actual credit at each review will be whatever NMMMD has verified by that date.</t>
  </si>
  <si>
    <t xml:space="preserve">Item</t>
  </si>
  <si>
    <t xml:space="preserve">Acres reaching Tier 1 in year (Drivers row 14)</t>
  </si>
  <si>
    <t xml:space="preserve">Cumulative acres at Tier 1 or better</t>
  </si>
  <si>
    <t xml:space="preserve">Acres at Tier 3/4 (Tier 1 year ≤ year − LAG)</t>
  </si>
  <si>
    <t xml:space="preserve">Acres at Tier 1/2 (not yet Tier 3)</t>
  </si>
  <si>
    <t xml:space="preserve">Weighted credit acres</t>
  </si>
  <si>
    <t xml:space="preserve">Credit fraction of reclaimable area</t>
  </si>
  <si>
    <t xml:space="preserve">Credit fraction — no verified reclamation (sensitivity)</t>
  </si>
  <si>
    <t xml:space="preserve">Posting and three-year review schedule — reviews every three years from permit issuance (Q4 2026)</t>
  </si>
  <si>
    <t xml:space="preserve">Required amount at any date = (gross in-place liability − long-term accounts) × (1 − verified credit) + long-term accounts + contingency. Contingency is the greater of 15% of the net or $5 million. During construction we post the increment before each construction year. From first ore onward each posting covers the greater of the amount required at that review and the amount projected for the next review, so the State is not holding less than the in-place liability between reviews. Reductions occur only at a review and only on verified reclamation. The sensitivity cases (no credit, and DSTSF accrued by tons instead of footprint) are shown so the effect of those assumptions can be seen directly.</t>
  </si>
  <si>
    <t xml:space="preserve">Milestone</t>
  </si>
  <si>
    <t xml:space="preserve">Date</t>
  </si>
  <si>
    <t xml:space="preserve">Liability year-end used</t>
  </si>
  <si>
    <t xml:space="preserve">Direct in place ($)</t>
  </si>
  <si>
    <t xml:space="preserve">Gross in-place liability ($)</t>
  </si>
  <si>
    <t xml:space="preserve">Long-term accounts held in full ($)</t>
  </si>
  <si>
    <t xml:space="preserve">Verified credit (%)</t>
  </si>
  <si>
    <t xml:space="preserve">Net liability ($)</t>
  </si>
  <si>
    <t xml:space="preserve">Contingency ($)</t>
  </si>
  <si>
    <t xml:space="preserve">Required FA at this date ($)</t>
  </si>
  <si>
    <t xml:space="preserve">Posted — covers through next review ($)</t>
  </si>
  <si>
    <t xml:space="preserve">Posted ($M)</t>
  </si>
  <si>
    <t xml:space="preserve">Basis / note</t>
  </si>
  <si>
    <t xml:space="preserve">Tranche 1 — permit issuance</t>
  </si>
  <si>
    <t xml:space="preserve">Q4 2026</t>
  </si>
  <si>
    <t xml:space="preserve">ECCP</t>
  </si>
  <si>
    <t xml:space="preserve">ECCP SRCE $5,728,244 approved by NMED; $5.7M letter of credit (DP-1840 C115.L). Whole in-place liability at issuance is the existing-conditions site.</t>
  </si>
  <si>
    <t xml:space="preserve">Tranche 2 — before Notice to Proceed</t>
  </si>
  <si>
    <t xml:space="preserve">Dec 2027</t>
  </si>
  <si>
    <t xml:space="preserve">Covers liability created in construction year 1 (plant site and buildings, DSTSF Stage 1 liner, linear facilities, monitoring and mobilization obligations)</t>
  </si>
  <si>
    <t xml:space="preserve">Tranche 3 — before construction year 2</t>
  </si>
  <si>
    <t xml:space="preserve">Dec 2028</t>
  </si>
  <si>
    <t xml:space="preserve">Covers end-of-construction position (pit pre-production, WRSP starts, remaining plant, SW-B/C); PE letter</t>
  </si>
  <si>
    <t xml:space="preserve">Tranche 4 — first ore (Review 0)</t>
  </si>
  <si>
    <t xml:space="preserve">Q1 2030</t>
  </si>
  <si>
    <t xml:space="preserve">First PE-certified recalculation on the as-built site; posting carried to the Review 1 projection; EWRSP-1/-2A/-2B at Tier 1</t>
  </si>
  <si>
    <t xml:space="preserve">Review 1 — operations year 3</t>
  </si>
  <si>
    <t xml:space="preserve">Q4 2032</t>
  </si>
  <si>
    <t xml:space="preserve">DSTSF Stage 2 built; waste placement 49% of LOM; EWRSP credit at Tier 3</t>
  </si>
  <si>
    <t xml:space="preserve">Review 2 — operations year 6</t>
  </si>
  <si>
    <t xml:space="preserve">Q4 2035</t>
  </si>
  <si>
    <t xml:space="preserve">Stage 4 built; waste placement 91%; pit rapid-fill obligation in full</t>
  </si>
  <si>
    <t xml:space="preserve">Review 3 — operations year 9</t>
  </si>
  <si>
    <t xml:space="preserve">Q4 2038</t>
  </si>
  <si>
    <t xml:space="preserve">Full build-out — peak liability; concurrent DSTSF and WRSP-3 credits</t>
  </si>
  <si>
    <t xml:space="preserve">Review 4 — end of operations</t>
  </si>
  <si>
    <t xml:space="preserve">Q4 2041</t>
  </si>
  <si>
    <t xml:space="preserve">Mining and processing ended Year 14; post-operation reclamation begins</t>
  </si>
  <si>
    <t xml:space="preserve">Review 5 — closure execution</t>
  </si>
  <si>
    <t xml:space="preserve">Q4 2044</t>
  </si>
  <si>
    <t xml:space="preserve">Post-operation reclamation largely at Tier 1/2; earlier work at Tier 3</t>
  </si>
  <si>
    <t xml:space="preserve">Review 6 — post-closure transition</t>
  </si>
  <si>
    <t xml:space="preserve">Q4 2047</t>
  </si>
  <si>
    <t xml:space="preserve">Reclamation complete Year 18 (2045); remaining liability = monitoring, maintenance, well closure (post-closure instrument)</t>
  </si>
  <si>
    <t xml:space="preserve">Post-closure instrument (put in place at Review 6, 2047; monitoring period from 2046): monitoring, reclamation maintenance, well closure and repair, with indirects and contingency</t>
  </si>
  <si>
    <t xml:space="preserve">100-year water-quality monitoring (DP-1840 C115.K.1), 12-year reclamation performance monitoring, cover and revegetation maintenance; held until NMMMD and NMED release</t>
  </si>
  <si>
    <t xml:space="preserve">Sensitivity — required FA with NO verified reclamation credit ($M)</t>
  </si>
  <si>
    <t xml:space="preserve">Sensitivity — required FA with the DSTSF accrued by tailings tonnage instead of stage footprint ($M, same credits)</t>
  </si>
  <si>
    <t xml:space="preserve">Glossary</t>
  </si>
  <si>
    <t xml:space="preserve">SRCE</t>
  </si>
  <si>
    <t xml:space="preserve">Standardized Reclamation Cost Estimator (BLM / Nevada / SRK), version 2.0; file 2026 CF SRCE r0.xlsm, September 2026</t>
  </si>
  <si>
    <t xml:space="preserve">r0</t>
  </si>
  <si>
    <t xml:space="preserve">Revision 0 of the September 2026 SRCE calculation provided to NMMMD (total $68,218,847)</t>
  </si>
  <si>
    <t xml:space="preserve">Direct cost</t>
  </si>
  <si>
    <t xml:space="preserve">Labor, equipment and materials for each SRCE account, third-party contractor basis, 2026 dollars</t>
  </si>
  <si>
    <t xml:space="preserve">Indirects</t>
  </si>
  <si>
    <t xml:space="preserve">Engineering 4%, contingency 6%, contractor OH&amp;P 10%, contract administration and procurement 11.93% (SRCE r0 rates)</t>
  </si>
  <si>
    <t xml:space="preserve">In-place liability</t>
  </si>
  <si>
    <t xml:space="preserve">Third-party cost to reclaim the disturbance that exists at a date, on the SRCE basis</t>
  </si>
  <si>
    <t xml:space="preserve">Tier 1–4</t>
  </si>
  <si>
    <t xml:space="preserve">NMCC verification tiers: 1 graded and covered (field-verified); 2 seeded, first season; 3 vegetation success verified (19.10.6.603.G); 4 partial release</t>
  </si>
  <si>
    <t xml:space="preserve">Credit</t>
  </si>
  <si>
    <t xml:space="preserve">Tier-weighted verified reclaimed acres ÷ reclaimable area (1,117 ac), applied to the gross liability less the long-term accounts (monitoring, reclamation maintenance, wells), which are held in full until release</t>
  </si>
  <si>
    <t xml:space="preserve">NMCC margin on net liability (15%, minimum $5M), in addition to the SRCE 6% contingency</t>
  </si>
  <si>
    <t xml:space="preserve">MORP</t>
  </si>
  <si>
    <t xml:space="preserve">Mine Operation and Reclamation Plan, Permit SI027RN; Update 2025 Rev 2 (22 Jun 2026)</t>
  </si>
  <si>
    <t xml:space="preserve">DSTSF</t>
  </si>
  <si>
    <t xml:space="preserve">Dry stack tailings storage facility (486–487 ac; five stages)</t>
  </si>
  <si>
    <t xml:space="preserve">WRSP / EWRSP</t>
  </si>
  <si>
    <t xml:space="preserve">Waste rock stockpile (new) / existing waste rock stockpile</t>
  </si>
  <si>
    <t xml:space="preserve">Existing Conditions Closure Plan (NMED-approved, DP-1840 Amendment 18-01)</t>
  </si>
  <si>
    <t xml:space="preserve">NTP</t>
  </si>
  <si>
    <t xml:space="preserve">Notice to Proceed with construction (31 Dec 2027)</t>
  </si>
  <si>
    <t xml:space="preserve">PE</t>
  </si>
  <si>
    <t xml:space="preserve">New Mexico-licensed professional engineer</t>
  </si>
</sst>
</file>

<file path=xl/styles.xml><?xml version="1.0" encoding="utf-8"?>
<styleSheet xmlns="http://schemas.openxmlformats.org/spreadsheetml/2006/main">
  <numFmts count="9">
    <numFmt numFmtId="164" formatCode="General"/>
    <numFmt numFmtId="165" formatCode="#,##0"/>
    <numFmt numFmtId="166" formatCode="#,##0;\(#,##0\);\-"/>
    <numFmt numFmtId="167" formatCode="0.00%"/>
    <numFmt numFmtId="168" formatCode="0%"/>
    <numFmt numFmtId="169" formatCode="0"/>
    <numFmt numFmtId="170" formatCode="0.0%"/>
    <numFmt numFmtId="171" formatCode="\$0.0\M"/>
    <numFmt numFmtId="172" formatCode="\$0\M"/>
  </numFmts>
  <fonts count="9">
    <font>
      <sz val="11"/>
      <color theme="1"/>
      <name val="Calibri"/>
      <family val="2"/>
      <charset val="1"/>
    </font>
    <font>
      <sz val="10"/>
      <name val="Arial"/>
      <family val="0"/>
    </font>
    <font>
      <sz val="10"/>
      <name val="Arial"/>
      <family val="0"/>
    </font>
    <font>
      <sz val="10"/>
      <name val="Arial"/>
      <family val="0"/>
    </font>
    <font>
      <b val="true"/>
      <sz val="13"/>
      <color rgb="FF1F3864"/>
      <name val="Calibri"/>
      <family val="0"/>
      <charset val="1"/>
    </font>
    <font>
      <sz val="10"/>
      <name val="Calibri"/>
      <family val="0"/>
      <charset val="1"/>
    </font>
    <font>
      <b val="true"/>
      <sz val="10"/>
      <color rgb="FFFFFFFF"/>
      <name val="Calibri"/>
      <family val="0"/>
      <charset val="1"/>
    </font>
    <font>
      <i val="true"/>
      <sz val="9"/>
      <color rgb="FF555555"/>
      <name val="Calibri"/>
      <family val="0"/>
      <charset val="1"/>
    </font>
    <font>
      <b val="true"/>
      <sz val="10"/>
      <name val="Calibri"/>
      <family val="0"/>
      <charset val="1"/>
    </font>
  </fonts>
  <fills count="6">
    <fill>
      <patternFill patternType="none"/>
    </fill>
    <fill>
      <patternFill patternType="gray125"/>
    </fill>
    <fill>
      <patternFill patternType="solid">
        <fgColor rgb="FF1F3864"/>
        <bgColor rgb="FF333333"/>
      </patternFill>
    </fill>
    <fill>
      <patternFill patternType="solid">
        <fgColor rgb="FFFFF2CC"/>
        <bgColor rgb="FFFCE4D6"/>
      </patternFill>
    </fill>
    <fill>
      <patternFill patternType="solid">
        <fgColor rgb="FFFCE4D6"/>
        <bgColor rgb="FFFFF2CC"/>
      </patternFill>
    </fill>
    <fill>
      <patternFill patternType="solid">
        <fgColor rgb="FFE2EFDA"/>
        <bgColor rgb="FFFCE4D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5"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8" fillId="4"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6" fontId="0" fillId="5" borderId="1" xfId="0" applyFont="false" applyBorder="true" applyAlignment="true" applyProtection="false">
      <alignment horizontal="general" vertical="top" textRotation="0" wrapText="true" indent="0" shrinkToFit="false"/>
      <protection locked="true" hidden="false"/>
    </xf>
    <xf numFmtId="167" fontId="0" fillId="3" borderId="1" xfId="0" applyFont="false" applyBorder="true" applyAlignment="true" applyProtection="false">
      <alignment horizontal="general" vertical="top" textRotation="0" wrapText="true" indent="0" shrinkToFit="false"/>
      <protection locked="true" hidden="false"/>
    </xf>
    <xf numFmtId="167" fontId="0" fillId="5" borderId="1" xfId="0" applyFont="false" applyBorder="true" applyAlignment="true" applyProtection="false">
      <alignment horizontal="general" vertical="top" textRotation="0" wrapText="true" indent="0" shrinkToFit="false"/>
      <protection locked="true" hidden="false"/>
    </xf>
    <xf numFmtId="165" fontId="0" fillId="5" borderId="1" xfId="0" applyFont="false" applyBorder="true" applyAlignment="true" applyProtection="false">
      <alignment horizontal="general" vertical="top" textRotation="0" wrapText="true" indent="0" shrinkToFit="false"/>
      <protection locked="true" hidden="false"/>
    </xf>
    <xf numFmtId="168" fontId="0" fillId="3" borderId="1" xfId="0" applyFont="false" applyBorder="true" applyAlignment="true" applyProtection="false">
      <alignment horizontal="general" vertical="top" textRotation="0" wrapText="true" indent="0" shrinkToFit="false"/>
      <protection locked="true" hidden="false"/>
    </xf>
    <xf numFmtId="165" fontId="0" fillId="3" borderId="1" xfId="0" applyFont="false" applyBorder="true" applyAlignment="true" applyProtection="false">
      <alignment horizontal="general" vertical="top" textRotation="0" wrapText="true" indent="0" shrinkToFit="false"/>
      <protection locked="true" hidden="false"/>
    </xf>
    <xf numFmtId="169" fontId="0" fillId="3" borderId="1" xfId="0" applyFont="false" applyBorder="true" applyAlignment="true" applyProtection="false">
      <alignment horizontal="general" vertical="top" textRotation="0" wrapText="true" indent="0" shrinkToFit="false"/>
      <protection locked="true" hidden="false"/>
    </xf>
    <xf numFmtId="165" fontId="0" fillId="4" borderId="1" xfId="0" applyFont="fals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5" fontId="5" fillId="3"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0" fillId="5" borderId="0" xfId="0" applyFont="false" applyBorder="false" applyAlignment="false" applyProtection="false">
      <alignment horizontal="general" vertical="bottom" textRotation="0" wrapText="false" indent="0" shrinkToFit="false"/>
      <protection locked="true" hidden="false"/>
    </xf>
    <xf numFmtId="170" fontId="5" fillId="5" borderId="0" xfId="0" applyFont="true" applyBorder="false" applyAlignment="false" applyProtection="false">
      <alignment horizontal="general" vertical="bottom" textRotation="0" wrapText="false" indent="0" shrinkToFit="false"/>
      <protection locked="true" hidden="false"/>
    </xf>
    <xf numFmtId="168" fontId="5" fillId="3" borderId="0" xfId="0" applyFont="true" applyBorder="false" applyAlignment="false" applyProtection="false">
      <alignment horizontal="general" vertical="bottom" textRotation="0" wrapText="false" indent="0" shrinkToFit="false"/>
      <protection locked="true" hidden="false"/>
    </xf>
    <xf numFmtId="165" fontId="5" fillId="5" borderId="0" xfId="0" applyFont="true" applyBorder="false" applyAlignment="false" applyProtection="false">
      <alignment horizontal="general" vertical="bottom" textRotation="0" wrapText="fals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70" fontId="7" fillId="5"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70" fontId="5" fillId="3" borderId="0" xfId="0" applyFont="true" applyBorder="false" applyAlignment="false" applyProtection="false">
      <alignment horizontal="general" vertical="bottom" textRotation="0" wrapText="false" indent="0" shrinkToFit="false"/>
      <protection locked="true" hidden="false"/>
    </xf>
    <xf numFmtId="170" fontId="0" fillId="5" borderId="1" xfId="0" applyFont="false" applyBorder="true" applyAlignment="true" applyProtection="false">
      <alignment horizontal="general" vertical="top" textRotation="0" wrapText="true" indent="0" shrinkToFit="false"/>
      <protection locked="true" hidden="false"/>
    </xf>
    <xf numFmtId="171" fontId="0" fillId="4" borderId="1" xfId="0" applyFont="false" applyBorder="true" applyAlignment="true" applyProtection="false">
      <alignment horizontal="general" vertical="top" textRotation="0" wrapText="true" indent="0" shrinkToFit="false"/>
      <protection locked="true" hidden="false"/>
    </xf>
    <xf numFmtId="172" fontId="0" fillId="4" borderId="1" xfId="0" applyFont="fals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3.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customXml" Target="../customXml/item1.xml"/><Relationship Id="rId5" Type="http://schemas.openxmlformats.org/officeDocument/2006/relationships/worksheet" Target="worksheets/sheet3.xml"/><Relationship Id="rId10" Type="http://schemas.openxmlformats.org/officeDocument/2006/relationships/sharedStrings" Target="sharedStrings.xml"/><Relationship Id="rId4" Type="http://schemas.openxmlformats.org/officeDocument/2006/relationships/worksheet" Target="worksheets/sheet2.xml"/><Relationship Id="rId9" Type="http://schemas.openxmlformats.org/officeDocument/2006/relationships/worksheet" Target="worksheets/sheet7.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8"/>
    <col collapsed="false" customWidth="true" hidden="false" outlineLevel="0" max="2" min="2" style="0" width="16"/>
    <col collapsed="false" customWidth="true" hidden="false" outlineLevel="0" max="3" min="3" style="0" width="70"/>
    <col collapsed="false" customWidth="true" hidden="false" outlineLevel="0" max="4" min="4" style="0" width="90"/>
  </cols>
  <sheetData>
    <row r="1" customFormat="false" ht="16.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c r="C4" s="3" t="s">
        <v>4</v>
      </c>
      <c r="D4" s="3" t="s">
        <v>5</v>
      </c>
    </row>
    <row r="5" customFormat="false" ht="22.35" hidden="false" customHeight="false" outlineLevel="0" collapsed="false">
      <c r="A5" s="4" t="s">
        <v>6</v>
      </c>
      <c r="B5" s="5" t="n">
        <v>2933506</v>
      </c>
      <c r="C5" s="4" t="s">
        <v>7</v>
      </c>
      <c r="D5" s="6" t="s">
        <v>8</v>
      </c>
    </row>
    <row r="6" customFormat="false" ht="15" hidden="false" customHeight="false" outlineLevel="0" collapsed="false">
      <c r="A6" s="4" t="s">
        <v>9</v>
      </c>
      <c r="B6" s="5" t="n">
        <v>9136213</v>
      </c>
      <c r="C6" s="4" t="s">
        <v>10</v>
      </c>
      <c r="D6" s="6" t="s">
        <v>11</v>
      </c>
    </row>
    <row r="7" customFormat="false" ht="23.85" hidden="false" customHeight="false" outlineLevel="0" collapsed="false">
      <c r="A7" s="4" t="s">
        <v>12</v>
      </c>
      <c r="B7" s="5" t="n">
        <v>429101</v>
      </c>
      <c r="C7" s="4" t="s">
        <v>13</v>
      </c>
      <c r="D7" s="6" t="s">
        <v>14</v>
      </c>
    </row>
    <row r="8" customFormat="false" ht="22.35" hidden="false" customHeight="false" outlineLevel="0" collapsed="false">
      <c r="A8" s="4" t="s">
        <v>15</v>
      </c>
      <c r="B8" s="5" t="n">
        <v>15468903</v>
      </c>
      <c r="C8" s="4" t="s">
        <v>16</v>
      </c>
      <c r="D8" s="6" t="s">
        <v>17</v>
      </c>
    </row>
    <row r="9" customFormat="false" ht="22.35" hidden="false" customHeight="false" outlineLevel="0" collapsed="false">
      <c r="A9" s="4" t="s">
        <v>18</v>
      </c>
      <c r="B9" s="5" t="n">
        <v>5589661</v>
      </c>
      <c r="C9" s="4" t="s">
        <v>19</v>
      </c>
      <c r="D9" s="6" t="s">
        <v>20</v>
      </c>
    </row>
    <row r="10" customFormat="false" ht="23.85" hidden="false" customHeight="false" outlineLevel="0" collapsed="false">
      <c r="A10" s="4" t="s">
        <v>21</v>
      </c>
      <c r="B10" s="5" t="n">
        <v>1493148</v>
      </c>
      <c r="C10" s="4" t="s">
        <v>22</v>
      </c>
      <c r="D10" s="6" t="s">
        <v>23</v>
      </c>
    </row>
    <row r="11" customFormat="false" ht="15" hidden="false" customHeight="false" outlineLevel="0" collapsed="false">
      <c r="A11" s="4" t="s">
        <v>24</v>
      </c>
      <c r="B11" s="5" t="n">
        <v>3958805</v>
      </c>
      <c r="C11" s="4" t="s">
        <v>25</v>
      </c>
      <c r="D11" s="6" t="s">
        <v>26</v>
      </c>
    </row>
    <row r="12" customFormat="false" ht="15" hidden="false" customHeight="false" outlineLevel="0" collapsed="false">
      <c r="A12" s="4" t="s">
        <v>27</v>
      </c>
      <c r="B12" s="5" t="n">
        <v>87348</v>
      </c>
      <c r="C12" s="4" t="s">
        <v>28</v>
      </c>
      <c r="D12" s="6" t="s">
        <v>29</v>
      </c>
    </row>
    <row r="13" customFormat="false" ht="15" hidden="false" customHeight="false" outlineLevel="0" collapsed="false">
      <c r="A13" s="4" t="s">
        <v>30</v>
      </c>
      <c r="B13" s="5" t="n">
        <v>753013</v>
      </c>
      <c r="C13" s="4" t="s">
        <v>31</v>
      </c>
      <c r="D13" s="6" t="s">
        <v>32</v>
      </c>
    </row>
    <row r="14" customFormat="false" ht="22.35" hidden="false" customHeight="false" outlineLevel="0" collapsed="false">
      <c r="A14" s="4" t="s">
        <v>33</v>
      </c>
      <c r="B14" s="5" t="n">
        <v>1336490</v>
      </c>
      <c r="C14" s="4" t="s">
        <v>34</v>
      </c>
      <c r="D14" s="6" t="s">
        <v>35</v>
      </c>
    </row>
    <row r="15" customFormat="false" ht="15" hidden="false" customHeight="false" outlineLevel="0" collapsed="false">
      <c r="A15" s="4" t="s">
        <v>36</v>
      </c>
      <c r="B15" s="5" t="n">
        <v>328489</v>
      </c>
      <c r="C15" s="4" t="s">
        <v>37</v>
      </c>
      <c r="D15" s="6" t="s">
        <v>38</v>
      </c>
    </row>
    <row r="16" customFormat="false" ht="15" hidden="false" customHeight="false" outlineLevel="0" collapsed="false">
      <c r="A16" s="4" t="s">
        <v>39</v>
      </c>
      <c r="B16" s="5" t="n">
        <v>116259</v>
      </c>
      <c r="C16" s="4" t="s">
        <v>40</v>
      </c>
      <c r="D16" s="6" t="s">
        <v>41</v>
      </c>
    </row>
    <row r="17" customFormat="false" ht="15" hidden="false" customHeight="false" outlineLevel="0" collapsed="false">
      <c r="A17" s="4" t="s">
        <v>42</v>
      </c>
      <c r="B17" s="5" t="n">
        <v>1940723</v>
      </c>
      <c r="C17" s="4" t="s">
        <v>43</v>
      </c>
      <c r="D17" s="6" t="s">
        <v>44</v>
      </c>
    </row>
    <row r="18" customFormat="false" ht="15" hidden="false" customHeight="false" outlineLevel="0" collapsed="false">
      <c r="A18" s="4" t="s">
        <v>45</v>
      </c>
      <c r="B18" s="5" t="n">
        <v>3865851</v>
      </c>
      <c r="C18" s="4" t="s">
        <v>46</v>
      </c>
      <c r="D18" s="6" t="s">
        <v>47</v>
      </c>
    </row>
    <row r="19" customFormat="false" ht="15" hidden="false" customHeight="false" outlineLevel="0" collapsed="false">
      <c r="A19" s="4" t="s">
        <v>48</v>
      </c>
      <c r="B19" s="5" t="n">
        <v>866143</v>
      </c>
      <c r="C19" s="4" t="s">
        <v>49</v>
      </c>
      <c r="D19" s="6" t="s">
        <v>50</v>
      </c>
    </row>
    <row r="20" customFormat="false" ht="15" hidden="false" customHeight="false" outlineLevel="0" collapsed="false">
      <c r="A20" s="4" t="s">
        <v>51</v>
      </c>
      <c r="B20" s="5" t="n">
        <v>644762</v>
      </c>
      <c r="C20" s="4" t="s">
        <v>52</v>
      </c>
      <c r="D20" s="6" t="s">
        <v>53</v>
      </c>
    </row>
    <row r="21" customFormat="false" ht="15" hidden="false" customHeight="false" outlineLevel="0" collapsed="false">
      <c r="A21" s="4" t="s">
        <v>54</v>
      </c>
      <c r="B21" s="5" t="n">
        <v>2331441</v>
      </c>
      <c r="C21" s="4" t="s">
        <v>55</v>
      </c>
      <c r="D21" s="6" t="s">
        <v>56</v>
      </c>
    </row>
    <row r="22" customFormat="false" ht="15" hidden="false" customHeight="false" outlineLevel="0" collapsed="false">
      <c r="A22" s="4" t="s">
        <v>57</v>
      </c>
      <c r="B22" s="5" t="n">
        <v>427329</v>
      </c>
      <c r="C22" s="4" t="s">
        <v>58</v>
      </c>
      <c r="D22" s="6" t="s">
        <v>59</v>
      </c>
    </row>
    <row r="23" customFormat="false" ht="15" hidden="false" customHeight="false" outlineLevel="0" collapsed="false">
      <c r="A23" s="7" t="s">
        <v>60</v>
      </c>
      <c r="B23" s="8" t="n">
        <f aca="false">SUM(B5:B22)</f>
        <v>51707185</v>
      </c>
      <c r="C23" s="9"/>
      <c r="D23" s="9"/>
    </row>
    <row r="24" customFormat="false" ht="15" hidden="false" customHeight="false" outlineLevel="0" collapsed="false">
      <c r="A24" s="4" t="s">
        <v>61</v>
      </c>
      <c r="B24" s="10" t="n">
        <f aca="false">B23-51707185</f>
        <v>0</v>
      </c>
      <c r="C24" s="9"/>
      <c r="D24" s="9"/>
    </row>
    <row r="25" customFormat="false" ht="15" hidden="false" customHeight="false" outlineLevel="0" collapsed="false">
      <c r="A25" s="9"/>
      <c r="B25" s="9"/>
      <c r="C25" s="9"/>
      <c r="D25" s="9"/>
    </row>
    <row r="26" customFormat="false" ht="15" hidden="false" customHeight="false" outlineLevel="0" collapsed="false">
      <c r="A26" s="7" t="s">
        <v>62</v>
      </c>
      <c r="B26" s="9"/>
      <c r="C26" s="9"/>
      <c r="D26" s="9"/>
    </row>
    <row r="27" customFormat="false" ht="15" hidden="false" customHeight="false" outlineLevel="0" collapsed="false">
      <c r="A27" s="4" t="s">
        <v>63</v>
      </c>
      <c r="B27" s="11" t="n">
        <v>0.04</v>
      </c>
      <c r="C27" s="9"/>
      <c r="D27" s="9"/>
    </row>
    <row r="28" customFormat="false" ht="15" hidden="false" customHeight="false" outlineLevel="0" collapsed="false">
      <c r="A28" s="4" t="s">
        <v>64</v>
      </c>
      <c r="B28" s="11" t="n">
        <v>0.06</v>
      </c>
      <c r="C28" s="9"/>
      <c r="D28" s="9"/>
    </row>
    <row r="29" customFormat="false" ht="15" hidden="false" customHeight="false" outlineLevel="0" collapsed="false">
      <c r="A29" s="4" t="s">
        <v>65</v>
      </c>
      <c r="B29" s="11" t="n">
        <v>0.1</v>
      </c>
      <c r="C29" s="9"/>
      <c r="D29" s="9"/>
    </row>
    <row r="30" customFormat="false" ht="15" hidden="false" customHeight="false" outlineLevel="0" collapsed="false">
      <c r="A30" s="4" t="s">
        <v>66</v>
      </c>
      <c r="B30" s="11" t="n">
        <v>0.119330121368107</v>
      </c>
      <c r="C30" s="9"/>
      <c r="D30" s="9"/>
    </row>
    <row r="31" customFormat="false" ht="15" hidden="false" customHeight="false" outlineLevel="0" collapsed="false">
      <c r="A31" s="7" t="s">
        <v>67</v>
      </c>
      <c r="B31" s="12" t="n">
        <f aca="false">SUM(B27:B30)</f>
        <v>0.319330121368107</v>
      </c>
      <c r="C31" s="9"/>
      <c r="D31" s="9"/>
    </row>
    <row r="32" customFormat="false" ht="15" hidden="false" customHeight="false" outlineLevel="0" collapsed="false">
      <c r="A32" s="4" t="s">
        <v>68</v>
      </c>
      <c r="B32" s="13" t="n">
        <f aca="false">B23*B31</f>
        <v>16511661.6616532</v>
      </c>
      <c r="C32" s="9"/>
      <c r="D32" s="9"/>
    </row>
    <row r="33" customFormat="false" ht="15" hidden="false" customHeight="false" outlineLevel="0" collapsed="false">
      <c r="A33" s="7" t="s">
        <v>69</v>
      </c>
      <c r="B33" s="8" t="n">
        <f aca="false">B23*(1+B31)</f>
        <v>68218846.6616532</v>
      </c>
      <c r="C33" s="9"/>
      <c r="D33" s="9"/>
    </row>
    <row r="34" customFormat="false" ht="15" hidden="false" customHeight="false" outlineLevel="0" collapsed="false">
      <c r="A34" s="9"/>
      <c r="B34" s="9"/>
      <c r="C34" s="9"/>
      <c r="D34" s="9"/>
    </row>
    <row r="35" customFormat="false" ht="15" hidden="false" customHeight="false" outlineLevel="0" collapsed="false">
      <c r="A35" s="7" t="s">
        <v>70</v>
      </c>
      <c r="B35" s="9"/>
      <c r="C35" s="9"/>
      <c r="D35" s="9"/>
    </row>
    <row r="36" customFormat="false" ht="15" hidden="false" customHeight="false" outlineLevel="0" collapsed="false">
      <c r="A36" s="4" t="s">
        <v>71</v>
      </c>
      <c r="B36" s="14" t="n">
        <v>0.15</v>
      </c>
      <c r="C36" s="9"/>
      <c r="D36" s="9"/>
    </row>
    <row r="37" customFormat="false" ht="15" hidden="false" customHeight="false" outlineLevel="0" collapsed="false">
      <c r="A37" s="4" t="s">
        <v>72</v>
      </c>
      <c r="B37" s="15" t="n">
        <v>5000000</v>
      </c>
      <c r="C37" s="9"/>
      <c r="D37" s="9"/>
    </row>
    <row r="38" customFormat="false" ht="15" hidden="false" customHeight="false" outlineLevel="0" collapsed="false">
      <c r="A38" s="4" t="s">
        <v>73</v>
      </c>
      <c r="B38" s="14" t="n">
        <v>0.3</v>
      </c>
      <c r="C38" s="9"/>
      <c r="D38" s="9"/>
    </row>
    <row r="39" customFormat="false" ht="15" hidden="false" customHeight="false" outlineLevel="0" collapsed="false">
      <c r="A39" s="4" t="s">
        <v>74</v>
      </c>
      <c r="B39" s="14" t="n">
        <v>1</v>
      </c>
      <c r="C39" s="9"/>
      <c r="D39" s="9"/>
    </row>
    <row r="40" customFormat="false" ht="15" hidden="false" customHeight="false" outlineLevel="0" collapsed="false">
      <c r="A40" s="4" t="s">
        <v>75</v>
      </c>
      <c r="B40" s="15" t="n">
        <v>1191</v>
      </c>
      <c r="C40" s="9"/>
      <c r="D40" s="9"/>
    </row>
    <row r="41" customFormat="false" ht="15" hidden="false" customHeight="false" outlineLevel="0" collapsed="false">
      <c r="A41" s="4" t="s">
        <v>76</v>
      </c>
      <c r="B41" s="15" t="n">
        <v>74</v>
      </c>
      <c r="C41" s="9"/>
      <c r="D41" s="9"/>
    </row>
    <row r="42" customFormat="false" ht="15" hidden="false" customHeight="false" outlineLevel="0" collapsed="false">
      <c r="A42" s="4" t="s">
        <v>77</v>
      </c>
      <c r="B42" s="13" t="n">
        <f aca="false">B40-B41</f>
        <v>1117</v>
      </c>
      <c r="C42" s="9"/>
      <c r="D42" s="9"/>
    </row>
    <row r="43" customFormat="false" ht="15" hidden="false" customHeight="false" outlineLevel="0" collapsed="false">
      <c r="A43" s="4" t="s">
        <v>78</v>
      </c>
      <c r="B43" s="16" t="n">
        <v>3</v>
      </c>
      <c r="C43" s="9"/>
      <c r="D43" s="9"/>
    </row>
    <row r="44" customFormat="false" ht="15" hidden="false" customHeight="false" outlineLevel="0" collapsed="false">
      <c r="A44" s="4" t="s">
        <v>79</v>
      </c>
      <c r="B44" s="11" t="n">
        <v>0.047218346725064</v>
      </c>
      <c r="C44" s="9"/>
      <c r="D44" s="9"/>
    </row>
    <row r="45" customFormat="false" ht="15" hidden="false" customHeight="false" outlineLevel="0" collapsed="false">
      <c r="A45" s="9"/>
      <c r="B45" s="9"/>
      <c r="C45" s="9"/>
      <c r="D45" s="9"/>
    </row>
    <row r="46" customFormat="false" ht="15" hidden="false" customHeight="false" outlineLevel="0" collapsed="false">
      <c r="A46" s="7" t="s">
        <v>80</v>
      </c>
      <c r="B46" s="9"/>
      <c r="C46" s="9"/>
      <c r="D46" s="9"/>
    </row>
    <row r="47" customFormat="false" ht="15" hidden="false" customHeight="false" outlineLevel="0" collapsed="false">
      <c r="A47" s="4" t="s">
        <v>81</v>
      </c>
      <c r="B47" s="15" t="n">
        <v>4582595</v>
      </c>
      <c r="C47" s="9"/>
      <c r="D47" s="9"/>
    </row>
    <row r="48" customFormat="false" ht="15" hidden="false" customHeight="false" outlineLevel="0" collapsed="false">
      <c r="A48" s="4" t="s">
        <v>82</v>
      </c>
      <c r="B48" s="15" t="n">
        <v>1145649</v>
      </c>
      <c r="C48" s="9"/>
      <c r="D48" s="9"/>
    </row>
    <row r="49" customFormat="false" ht="15" hidden="false" customHeight="false" outlineLevel="0" collapsed="false">
      <c r="A49" s="7" t="s">
        <v>83</v>
      </c>
      <c r="B49" s="17" t="n">
        <f aca="false">B47+B48</f>
        <v>5728244</v>
      </c>
      <c r="C49" s="9"/>
      <c r="D49" s="9"/>
    </row>
    <row r="50" customFormat="false" ht="15" hidden="false" customHeight="false" outlineLevel="0" collapsed="false">
      <c r="A50" s="4" t="s">
        <v>84</v>
      </c>
      <c r="B50" s="15" t="n">
        <v>5700000</v>
      </c>
      <c r="C50" s="9"/>
      <c r="D50" s="9"/>
    </row>
    <row r="51" customFormat="false" ht="15" hidden="false" customHeight="false" outlineLevel="0" collapsed="false">
      <c r="A51" s="9"/>
      <c r="B51" s="9"/>
      <c r="C51" s="9"/>
      <c r="D51" s="9"/>
    </row>
    <row r="52" customFormat="false" ht="32.8" hidden="false" customHeight="false" outlineLevel="0" collapsed="false">
      <c r="A52" s="6" t="s">
        <v>85</v>
      </c>
      <c r="B52" s="9"/>
      <c r="C52" s="9"/>
      <c r="D52"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0"/>
  </cols>
  <sheetData>
    <row r="1" customFormat="false" ht="16.15" hidden="false" customHeight="false" outlineLevel="0" collapsed="false">
      <c r="A1" s="1" t="s">
        <v>86</v>
      </c>
    </row>
    <row r="3" customFormat="false" ht="15" hidden="false" customHeight="false" outlineLevel="0" collapsed="false">
      <c r="A3" s="18" t="s">
        <v>87</v>
      </c>
      <c r="B3" s="19"/>
    </row>
    <row r="4" customFormat="false" ht="15" hidden="false" customHeight="false" outlineLevel="0" collapsed="false">
      <c r="A4" s="2" t="s">
        <v>88</v>
      </c>
      <c r="B4" s="19" t="s">
        <v>89</v>
      </c>
    </row>
    <row r="5" customFormat="false" ht="15" hidden="false" customHeight="false" outlineLevel="0" collapsed="false">
      <c r="A5" s="2" t="s">
        <v>88</v>
      </c>
      <c r="B5" s="19" t="s">
        <v>90</v>
      </c>
    </row>
    <row r="6" customFormat="false" ht="15" hidden="false" customHeight="false" outlineLevel="0" collapsed="false">
      <c r="A6" s="2" t="s">
        <v>88</v>
      </c>
      <c r="B6" s="19" t="s">
        <v>91</v>
      </c>
    </row>
    <row r="7" customFormat="false" ht="15" hidden="false" customHeight="false" outlineLevel="0" collapsed="false">
      <c r="A7" s="2" t="s">
        <v>88</v>
      </c>
      <c r="B7" s="19" t="s">
        <v>92</v>
      </c>
    </row>
    <row r="8" customFormat="false" ht="15" hidden="false" customHeight="false" outlineLevel="0" collapsed="false">
      <c r="A8" s="2" t="s">
        <v>88</v>
      </c>
      <c r="B8" s="19" t="s">
        <v>93</v>
      </c>
    </row>
    <row r="9" customFormat="false" ht="15" hidden="false" customHeight="false" outlineLevel="0" collapsed="false">
      <c r="A9" s="2" t="s">
        <v>88</v>
      </c>
      <c r="B9" s="19" t="s">
        <v>94</v>
      </c>
    </row>
    <row r="10" customFormat="false" ht="15" hidden="false" customHeight="false" outlineLevel="0" collapsed="false">
      <c r="A10" s="2"/>
      <c r="B10" s="19"/>
    </row>
    <row r="11" customFormat="false" ht="15" hidden="false" customHeight="false" outlineLevel="0" collapsed="false">
      <c r="A11" s="18" t="s">
        <v>95</v>
      </c>
      <c r="B11" s="19"/>
    </row>
    <row r="12" customFormat="false" ht="23.85" hidden="false" customHeight="false" outlineLevel="0" collapsed="false">
      <c r="A12" s="2" t="s">
        <v>88</v>
      </c>
      <c r="B12" s="19" t="s">
        <v>96</v>
      </c>
    </row>
    <row r="13" customFormat="false" ht="15" hidden="false" customHeight="false" outlineLevel="0" collapsed="false">
      <c r="A13" s="2" t="s">
        <v>88</v>
      </c>
      <c r="B13" s="19" t="s">
        <v>97</v>
      </c>
    </row>
    <row r="14" customFormat="false" ht="23.85" hidden="false" customHeight="false" outlineLevel="0" collapsed="false">
      <c r="A14" s="2" t="s">
        <v>88</v>
      </c>
      <c r="B14" s="19" t="s">
        <v>98</v>
      </c>
    </row>
    <row r="15" customFormat="false" ht="15" hidden="false" customHeight="false" outlineLevel="0" collapsed="false">
      <c r="A15" s="2" t="s">
        <v>88</v>
      </c>
      <c r="B15" s="19" t="s">
        <v>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4"/>
    <col collapsed="false" customWidth="true" hidden="false" outlineLevel="0" max="24" min="3" style="0" width="10.51"/>
  </cols>
  <sheetData>
    <row r="1" customFormat="false" ht="16.15" hidden="false" customHeight="false" outlineLevel="0" collapsed="false">
      <c r="A1" s="1" t="s">
        <v>100</v>
      </c>
    </row>
    <row r="2" customFormat="false" ht="15" hidden="false" customHeight="false" outlineLevel="0" collapsed="false">
      <c r="A2" s="2" t="s">
        <v>101</v>
      </c>
    </row>
    <row r="4" customFormat="false" ht="15" hidden="false" customHeight="false" outlineLevel="0" collapsed="false">
      <c r="A4" s="20" t="s">
        <v>102</v>
      </c>
      <c r="B4" s="20" t="s">
        <v>103</v>
      </c>
      <c r="C4" s="21" t="n">
        <v>2026</v>
      </c>
      <c r="D4" s="21" t="n">
        <v>2027</v>
      </c>
      <c r="E4" s="21" t="n">
        <v>2028</v>
      </c>
      <c r="F4" s="21" t="n">
        <v>2029</v>
      </c>
      <c r="G4" s="21" t="n">
        <v>2030</v>
      </c>
      <c r="H4" s="21" t="n">
        <v>2031</v>
      </c>
      <c r="I4" s="21" t="n">
        <v>2032</v>
      </c>
      <c r="J4" s="21" t="n">
        <v>2033</v>
      </c>
      <c r="K4" s="21" t="n">
        <v>2034</v>
      </c>
      <c r="L4" s="21" t="n">
        <v>2035</v>
      </c>
      <c r="M4" s="21" t="n">
        <v>2036</v>
      </c>
      <c r="N4" s="21" t="n">
        <v>2037</v>
      </c>
      <c r="O4" s="21" t="n">
        <v>2038</v>
      </c>
      <c r="P4" s="21" t="n">
        <v>2039</v>
      </c>
      <c r="Q4" s="21" t="n">
        <v>2040</v>
      </c>
      <c r="R4" s="21" t="n">
        <v>2041</v>
      </c>
      <c r="S4" s="21" t="n">
        <v>2042</v>
      </c>
      <c r="T4" s="21" t="n">
        <v>2043</v>
      </c>
      <c r="U4" s="21" t="n">
        <v>2044</v>
      </c>
      <c r="V4" s="21" t="n">
        <v>2045</v>
      </c>
      <c r="W4" s="21" t="n">
        <v>2046</v>
      </c>
      <c r="X4" s="21" t="n">
        <v>2047</v>
      </c>
    </row>
    <row r="5" customFormat="false" ht="15" hidden="false" customHeight="false" outlineLevel="0" collapsed="false">
      <c r="A5" s="2" t="s">
        <v>104</v>
      </c>
      <c r="C5" s="22"/>
      <c r="D5" s="22"/>
      <c r="E5" s="22" t="n">
        <v>1</v>
      </c>
      <c r="F5" s="22" t="n">
        <v>2</v>
      </c>
      <c r="G5" s="22" t="n">
        <v>3</v>
      </c>
      <c r="H5" s="22" t="n">
        <v>4</v>
      </c>
      <c r="I5" s="22" t="n">
        <v>5</v>
      </c>
      <c r="J5" s="22" t="n">
        <v>6</v>
      </c>
      <c r="K5" s="22" t="n">
        <v>7</v>
      </c>
      <c r="L5" s="22" t="n">
        <v>8</v>
      </c>
      <c r="M5" s="22" t="n">
        <v>9</v>
      </c>
      <c r="N5" s="22" t="n">
        <v>10</v>
      </c>
      <c r="O5" s="22" t="n">
        <v>11</v>
      </c>
      <c r="P5" s="22" t="n">
        <v>12</v>
      </c>
      <c r="Q5" s="22" t="n">
        <v>13</v>
      </c>
      <c r="R5" s="22" t="n">
        <v>14</v>
      </c>
      <c r="S5" s="22" t="n">
        <v>15</v>
      </c>
      <c r="T5" s="22" t="n">
        <v>16</v>
      </c>
      <c r="U5" s="22" t="n">
        <v>17</v>
      </c>
      <c r="V5" s="22" t="n">
        <v>18</v>
      </c>
      <c r="W5" s="22" t="n">
        <v>19</v>
      </c>
      <c r="X5" s="22" t="n">
        <v>20</v>
      </c>
    </row>
    <row r="7" customFormat="false" ht="15" hidden="false" customHeight="false" outlineLevel="0" collapsed="false">
      <c r="A7" s="2" t="s">
        <v>105</v>
      </c>
      <c r="B7" s="23" t="n">
        <v>44682000</v>
      </c>
      <c r="F7" s="24" t="n">
        <v>110000</v>
      </c>
      <c r="G7" s="24" t="n">
        <v>8560000</v>
      </c>
      <c r="H7" s="24" t="n">
        <v>6700000</v>
      </c>
      <c r="I7" s="24" t="n">
        <v>6700000</v>
      </c>
      <c r="J7" s="24" t="n">
        <v>6700000</v>
      </c>
      <c r="K7" s="24" t="n">
        <v>6700000</v>
      </c>
      <c r="L7" s="24" t="n">
        <v>5924000</v>
      </c>
      <c r="M7" s="24" t="n">
        <v>2491000</v>
      </c>
      <c r="N7" s="24" t="n">
        <v>718000</v>
      </c>
      <c r="O7" s="24" t="n">
        <v>71000</v>
      </c>
      <c r="P7" s="24" t="n">
        <v>3000</v>
      </c>
      <c r="Q7" s="24" t="n">
        <v>1000</v>
      </c>
      <c r="R7" s="24" t="n">
        <v>4000</v>
      </c>
    </row>
    <row r="8" customFormat="false" ht="15" hidden="false" customHeight="false" outlineLevel="0" collapsed="false">
      <c r="A8" s="2" t="s">
        <v>106</v>
      </c>
      <c r="B8" s="23" t="n">
        <v>113084000</v>
      </c>
      <c r="G8" s="24" t="n">
        <v>9300000</v>
      </c>
      <c r="H8" s="24" t="n">
        <v>10800000</v>
      </c>
      <c r="I8" s="24" t="n">
        <v>10800000</v>
      </c>
      <c r="J8" s="24" t="n">
        <v>10800000</v>
      </c>
      <c r="K8" s="24" t="n">
        <v>10800000</v>
      </c>
      <c r="L8" s="24" t="n">
        <v>10025000</v>
      </c>
      <c r="M8" s="24" t="n">
        <v>9900000</v>
      </c>
      <c r="N8" s="24" t="n">
        <v>9900000</v>
      </c>
      <c r="O8" s="24" t="n">
        <v>9900000</v>
      </c>
      <c r="P8" s="24" t="n">
        <v>9900000</v>
      </c>
      <c r="Q8" s="24" t="n">
        <v>9900000</v>
      </c>
      <c r="R8" s="24" t="n">
        <v>1059000</v>
      </c>
    </row>
    <row r="9" customFormat="false" ht="15" hidden="false" customHeight="false" outlineLevel="0" collapsed="false">
      <c r="A9" s="2" t="s">
        <v>107</v>
      </c>
      <c r="B9" s="23" t="n">
        <v>487</v>
      </c>
      <c r="E9" s="24" t="n">
        <v>161</v>
      </c>
      <c r="H9" s="24" t="n">
        <v>101</v>
      </c>
      <c r="J9" s="24" t="n">
        <v>106</v>
      </c>
      <c r="L9" s="24" t="n">
        <v>52</v>
      </c>
      <c r="N9" s="24" t="n">
        <v>67</v>
      </c>
    </row>
    <row r="10" customFormat="false" ht="15" hidden="false" customHeight="false" outlineLevel="0" collapsed="false">
      <c r="A10" s="2" t="s">
        <v>108</v>
      </c>
      <c r="B10" s="23" t="n">
        <v>165</v>
      </c>
      <c r="F10" s="24" t="n">
        <v>83</v>
      </c>
      <c r="G10" s="24" t="n">
        <v>66</v>
      </c>
      <c r="I10" s="24" t="n">
        <v>8</v>
      </c>
      <c r="J10" s="24" t="n">
        <v>8</v>
      </c>
    </row>
    <row r="11" customFormat="false" ht="15" hidden="false" customHeight="false" outlineLevel="0" collapsed="false">
      <c r="A11" s="2" t="s">
        <v>109</v>
      </c>
      <c r="B11" s="23" t="n">
        <v>236</v>
      </c>
      <c r="F11" s="24" t="n">
        <v>12</v>
      </c>
      <c r="G11" s="24" t="n">
        <v>51</v>
      </c>
      <c r="H11" s="24" t="n">
        <v>46</v>
      </c>
      <c r="I11" s="24" t="n">
        <v>33</v>
      </c>
      <c r="J11" s="24" t="n">
        <v>23</v>
      </c>
      <c r="K11" s="24" t="n">
        <v>20</v>
      </c>
      <c r="L11" s="24" t="n">
        <v>18</v>
      </c>
      <c r="M11" s="24" t="n">
        <v>6</v>
      </c>
    </row>
    <row r="12" customFormat="false" ht="15" hidden="false" customHeight="false" outlineLevel="0" collapsed="false">
      <c r="A12" s="2" t="s">
        <v>110</v>
      </c>
      <c r="B12" s="23"/>
      <c r="E12" s="24" t="n">
        <v>325</v>
      </c>
      <c r="F12" s="24" t="n">
        <v>170</v>
      </c>
    </row>
    <row r="14" customFormat="false" ht="15" hidden="false" customHeight="false" outlineLevel="0" collapsed="false">
      <c r="A14" s="2" t="s">
        <v>111</v>
      </c>
      <c r="B14" s="23" t="n">
        <v>1117</v>
      </c>
      <c r="F14" s="24" t="n">
        <v>36</v>
      </c>
      <c r="I14" s="24" t="n">
        <v>20</v>
      </c>
      <c r="K14" s="24" t="n">
        <v>20</v>
      </c>
      <c r="M14" s="24" t="n">
        <v>30</v>
      </c>
      <c r="N14" s="24" t="n">
        <v>10</v>
      </c>
      <c r="O14" s="24" t="n">
        <v>30</v>
      </c>
      <c r="P14" s="24" t="n">
        <v>30</v>
      </c>
      <c r="Q14" s="24" t="n">
        <v>10</v>
      </c>
      <c r="R14" s="24" t="n">
        <v>96</v>
      </c>
      <c r="S14" s="24" t="n">
        <v>221</v>
      </c>
      <c r="T14" s="24" t="n">
        <v>249</v>
      </c>
      <c r="U14" s="24" t="n">
        <v>226</v>
      </c>
      <c r="V14" s="24" t="n">
        <v>142</v>
      </c>
    </row>
    <row r="15" customFormat="false" ht="15" hidden="false" customHeight="false" outlineLevel="0" collapsed="false">
      <c r="A15" s="25" t="s">
        <v>112</v>
      </c>
      <c r="B15" s="26" t="n">
        <f aca="false">SUM(F14:Q14)</f>
        <v>186</v>
      </c>
    </row>
    <row r="16" customFormat="false" ht="15" hidden="false" customHeight="false" outlineLevel="0" collapsed="false">
      <c r="A16" s="25" t="s">
        <v>113</v>
      </c>
      <c r="B16" s="26" t="n">
        <f aca="false">SUM(R14:V14)</f>
        <v>934</v>
      </c>
    </row>
    <row r="18" customFormat="false" ht="15" hidden="false" customHeight="false" outlineLevel="0" collapsed="false">
      <c r="A18" s="18" t="s">
        <v>114</v>
      </c>
      <c r="C18" s="27" t="n">
        <f aca="false">SUM($C7:C7)/$B$7</f>
        <v>0</v>
      </c>
      <c r="D18" s="27" t="n">
        <f aca="false">SUM($C7:D7)/$B$7</f>
        <v>0</v>
      </c>
      <c r="E18" s="27" t="n">
        <f aca="false">SUM($C7:E7)/$B$7</f>
        <v>0</v>
      </c>
      <c r="F18" s="27" t="n">
        <f aca="false">SUM($C7:F7)/$B$7</f>
        <v>0.00246184145741014</v>
      </c>
      <c r="G18" s="27" t="n">
        <f aca="false">SUM($C7:G7)/$B$7</f>
        <v>0.19403786759769</v>
      </c>
      <c r="H18" s="27" t="n">
        <f aca="false">SUM($C7:H7)/$B$7</f>
        <v>0.343986392730854</v>
      </c>
      <c r="I18" s="27" t="n">
        <f aca="false">SUM($C7:I7)/$B$7</f>
        <v>0.493934917864017</v>
      </c>
      <c r="J18" s="27" t="n">
        <f aca="false">SUM($C7:J7)/$B$7</f>
        <v>0.64388344299718</v>
      </c>
      <c r="K18" s="27" t="n">
        <f aca="false">SUM($C7:K7)/$B$7</f>
        <v>0.793831968130343</v>
      </c>
      <c r="L18" s="27" t="n">
        <f aca="false">SUM($C7:L7)/$B$7</f>
        <v>0.926413320800322</v>
      </c>
      <c r="M18" s="27" t="n">
        <f aca="false">SUM($C7:M7)/$B$7</f>
        <v>0.982162839622219</v>
      </c>
      <c r="N18" s="27" t="n">
        <f aca="false">SUM($C7:N7)/$B$7</f>
        <v>0.998231950226042</v>
      </c>
      <c r="O18" s="27" t="n">
        <f aca="false">SUM($C7:O7)/$B$7</f>
        <v>0.999820956984916</v>
      </c>
      <c r="P18" s="27" t="n">
        <f aca="false">SUM($C7:P7)/$B$7</f>
        <v>0.999888098115572</v>
      </c>
      <c r="Q18" s="27" t="n">
        <f aca="false">SUM($C7:Q7)/$B$7</f>
        <v>0.999910478492458</v>
      </c>
      <c r="R18" s="27" t="n">
        <f aca="false">SUM($C7:R7)/$B$7</f>
        <v>1</v>
      </c>
      <c r="S18" s="27" t="n">
        <f aca="false">SUM($C7:S7)/$B$7</f>
        <v>1</v>
      </c>
      <c r="T18" s="27" t="n">
        <f aca="false">SUM($C7:T7)/$B$7</f>
        <v>1</v>
      </c>
      <c r="U18" s="27" t="n">
        <f aca="false">SUM($C7:U7)/$B$7</f>
        <v>1</v>
      </c>
      <c r="V18" s="27" t="n">
        <f aca="false">SUM($C7:V7)/$B$7</f>
        <v>1</v>
      </c>
      <c r="W18" s="27" t="n">
        <f aca="false">SUM($C7:W7)/$B$7</f>
        <v>1</v>
      </c>
      <c r="X18" s="27" t="n">
        <f aca="false">SUM($C7:X7)/$B$7</f>
        <v>1</v>
      </c>
    </row>
    <row r="19" customFormat="false" ht="15" hidden="false" customHeight="false" outlineLevel="0" collapsed="false">
      <c r="A19" s="18" t="s">
        <v>115</v>
      </c>
      <c r="C19" s="27" t="n">
        <f aca="false">SUM($C8:C8)/$B$8</f>
        <v>0</v>
      </c>
      <c r="D19" s="27" t="n">
        <f aca="false">SUM($C8:D8)/$B$8</f>
        <v>0</v>
      </c>
      <c r="E19" s="27" t="n">
        <f aca="false">SUM($C8:E8)/$B$8</f>
        <v>0</v>
      </c>
      <c r="F19" s="27" t="n">
        <f aca="false">SUM($C8:F8)/$B$8</f>
        <v>0</v>
      </c>
      <c r="G19" s="27" t="n">
        <f aca="false">SUM($C8:G8)/$B$8</f>
        <v>0.0822397509815712</v>
      </c>
      <c r="H19" s="27" t="n">
        <f aca="false">SUM($C8:H8)/$B$8</f>
        <v>0.177743977927912</v>
      </c>
      <c r="I19" s="27" t="n">
        <f aca="false">SUM($C8:I8)/$B$8</f>
        <v>0.273248204874253</v>
      </c>
      <c r="J19" s="27" t="n">
        <f aca="false">SUM($C8:J8)/$B$8</f>
        <v>0.368752431820594</v>
      </c>
      <c r="K19" s="27" t="n">
        <f aca="false">SUM($C8:K8)/$B$8</f>
        <v>0.464256658766934</v>
      </c>
      <c r="L19" s="27" t="n">
        <f aca="false">SUM($C8:L8)/$B$8</f>
        <v>0.552907573131478</v>
      </c>
      <c r="M19" s="27" t="n">
        <f aca="false">SUM($C8:M8)/$B$8</f>
        <v>0.640453114498957</v>
      </c>
      <c r="N19" s="27" t="n">
        <f aca="false">SUM($C8:N8)/$B$8</f>
        <v>0.727998655866436</v>
      </c>
      <c r="O19" s="27" t="n">
        <f aca="false">SUM($C8:O8)/$B$8</f>
        <v>0.815544197233915</v>
      </c>
      <c r="P19" s="27" t="n">
        <f aca="false">SUM($C8:P8)/$B$8</f>
        <v>0.903089738601394</v>
      </c>
      <c r="Q19" s="27" t="n">
        <f aca="false">SUM($C8:Q8)/$B$8</f>
        <v>0.990635279968873</v>
      </c>
      <c r="R19" s="27" t="n">
        <f aca="false">SUM($C8:R8)/$B$8</f>
        <v>1</v>
      </c>
      <c r="S19" s="27" t="n">
        <f aca="false">SUM($C8:S8)/$B$8</f>
        <v>1</v>
      </c>
      <c r="T19" s="27" t="n">
        <f aca="false">SUM($C8:T8)/$B$8</f>
        <v>1</v>
      </c>
      <c r="U19" s="27" t="n">
        <f aca="false">SUM($C8:U8)/$B$8</f>
        <v>1</v>
      </c>
      <c r="V19" s="27" t="n">
        <f aca="false">SUM($C8:V8)/$B$8</f>
        <v>1</v>
      </c>
      <c r="W19" s="27" t="n">
        <f aca="false">SUM($C8:W8)/$B$8</f>
        <v>1</v>
      </c>
      <c r="X19" s="27" t="n">
        <f aca="false">SUM($C8:X8)/$B$8</f>
        <v>1</v>
      </c>
    </row>
    <row r="20" customFormat="false" ht="15" hidden="false" customHeight="false" outlineLevel="0" collapsed="false">
      <c r="A20" s="18" t="s">
        <v>116</v>
      </c>
      <c r="C20" s="27" t="n">
        <f aca="false">SUM($C9:C9)/$B$9</f>
        <v>0</v>
      </c>
      <c r="D20" s="27" t="n">
        <f aca="false">SUM($C9:D9)/$B$9</f>
        <v>0</v>
      </c>
      <c r="E20" s="27" t="n">
        <f aca="false">SUM($C9:E9)/$B$9</f>
        <v>0.330595482546201</v>
      </c>
      <c r="F20" s="27" t="n">
        <f aca="false">SUM($C9:F9)/$B$9</f>
        <v>0.330595482546201</v>
      </c>
      <c r="G20" s="27" t="n">
        <f aca="false">SUM($C9:G9)/$B$9</f>
        <v>0.330595482546201</v>
      </c>
      <c r="H20" s="27" t="n">
        <f aca="false">SUM($C9:H9)/$B$9</f>
        <v>0.537987679671458</v>
      </c>
      <c r="I20" s="27" t="n">
        <f aca="false">SUM($C9:I9)/$B$9</f>
        <v>0.537987679671458</v>
      </c>
      <c r="J20" s="27" t="n">
        <f aca="false">SUM($C9:J9)/$B$9</f>
        <v>0.75564681724846</v>
      </c>
      <c r="K20" s="27" t="n">
        <f aca="false">SUM($C9:K9)/$B$9</f>
        <v>0.75564681724846</v>
      </c>
      <c r="L20" s="27" t="n">
        <f aca="false">SUM($C9:L9)/$B$9</f>
        <v>0.862422997946612</v>
      </c>
      <c r="M20" s="27" t="n">
        <f aca="false">SUM($C9:M9)/$B$9</f>
        <v>0.862422997946612</v>
      </c>
      <c r="N20" s="27" t="n">
        <f aca="false">SUM($C9:N9)/$B$9</f>
        <v>1</v>
      </c>
      <c r="O20" s="27" t="n">
        <f aca="false">SUM($C9:O9)/$B$9</f>
        <v>1</v>
      </c>
      <c r="P20" s="27" t="n">
        <f aca="false">SUM($C9:P9)/$B$9</f>
        <v>1</v>
      </c>
      <c r="Q20" s="27" t="n">
        <f aca="false">SUM($C9:Q9)/$B$9</f>
        <v>1</v>
      </c>
      <c r="R20" s="27" t="n">
        <f aca="false">SUM($C9:R9)/$B$9</f>
        <v>1</v>
      </c>
      <c r="S20" s="27" t="n">
        <f aca="false">SUM($C9:S9)/$B$9</f>
        <v>1</v>
      </c>
      <c r="T20" s="27" t="n">
        <f aca="false">SUM($C9:T9)/$B$9</f>
        <v>1</v>
      </c>
      <c r="U20" s="27" t="n">
        <f aca="false">SUM($C9:U9)/$B$9</f>
        <v>1</v>
      </c>
      <c r="V20" s="27" t="n">
        <f aca="false">SUM($C9:V9)/$B$9</f>
        <v>1</v>
      </c>
      <c r="W20" s="27" t="n">
        <f aca="false">SUM($C9:W9)/$B$9</f>
        <v>1</v>
      </c>
      <c r="X20" s="27" t="n">
        <f aca="false">SUM($C9:X9)/$B$9</f>
        <v>1</v>
      </c>
    </row>
    <row r="21" customFormat="false" ht="15" hidden="false" customHeight="false" outlineLevel="0" collapsed="false">
      <c r="A21" s="18" t="s">
        <v>117</v>
      </c>
      <c r="C21" s="27" t="n">
        <f aca="false">SUM($C10:C10)/$B$10</f>
        <v>0</v>
      </c>
      <c r="D21" s="27" t="n">
        <f aca="false">SUM($C10:D10)/$B$10</f>
        <v>0</v>
      </c>
      <c r="E21" s="27" t="n">
        <f aca="false">SUM($C10:E10)/$B$10</f>
        <v>0</v>
      </c>
      <c r="F21" s="27" t="n">
        <f aca="false">SUM($C10:F10)/$B$10</f>
        <v>0.503030303030303</v>
      </c>
      <c r="G21" s="27" t="n">
        <f aca="false">SUM($C10:G10)/$B$10</f>
        <v>0.903030303030303</v>
      </c>
      <c r="H21" s="27" t="n">
        <f aca="false">SUM($C10:H10)/$B$10</f>
        <v>0.903030303030303</v>
      </c>
      <c r="I21" s="27" t="n">
        <f aca="false">SUM($C10:I10)/$B$10</f>
        <v>0.951515151515152</v>
      </c>
      <c r="J21" s="27" t="n">
        <f aca="false">SUM($C10:J10)/$B$10</f>
        <v>1</v>
      </c>
      <c r="K21" s="27" t="n">
        <f aca="false">SUM($C10:K10)/$B$10</f>
        <v>1</v>
      </c>
      <c r="L21" s="27" t="n">
        <f aca="false">SUM($C10:L10)/$B$10</f>
        <v>1</v>
      </c>
      <c r="M21" s="27" t="n">
        <f aca="false">SUM($C10:M10)/$B$10</f>
        <v>1</v>
      </c>
      <c r="N21" s="27" t="n">
        <f aca="false">SUM($C10:N10)/$B$10</f>
        <v>1</v>
      </c>
      <c r="O21" s="27" t="n">
        <f aca="false">SUM($C10:O10)/$B$10</f>
        <v>1</v>
      </c>
      <c r="P21" s="27" t="n">
        <f aca="false">SUM($C10:P10)/$B$10</f>
        <v>1</v>
      </c>
      <c r="Q21" s="27" t="n">
        <f aca="false">SUM($C10:Q10)/$B$10</f>
        <v>1</v>
      </c>
      <c r="R21" s="27" t="n">
        <f aca="false">SUM($C10:R10)/$B$10</f>
        <v>1</v>
      </c>
      <c r="S21" s="27" t="n">
        <f aca="false">SUM($C10:S10)/$B$10</f>
        <v>1</v>
      </c>
      <c r="T21" s="27" t="n">
        <f aca="false">SUM($C10:T10)/$B$10</f>
        <v>1</v>
      </c>
      <c r="U21" s="27" t="n">
        <f aca="false">SUM($C10:U10)/$B$10</f>
        <v>1</v>
      </c>
      <c r="V21" s="27" t="n">
        <f aca="false">SUM($C10:V10)/$B$10</f>
        <v>1</v>
      </c>
      <c r="W21" s="27" t="n">
        <f aca="false">SUM($C10:W10)/$B$10</f>
        <v>1</v>
      </c>
      <c r="X21" s="27" t="n">
        <f aca="false">SUM($C10:X10)/$B$10</f>
        <v>1</v>
      </c>
    </row>
    <row r="22" customFormat="false" ht="15" hidden="false" customHeight="false" outlineLevel="0" collapsed="false">
      <c r="A22" s="18" t="s">
        <v>118</v>
      </c>
      <c r="C22" s="28" t="n">
        <v>0</v>
      </c>
      <c r="D22" s="28" t="n">
        <v>0</v>
      </c>
      <c r="E22" s="28" t="n">
        <v>0.5</v>
      </c>
      <c r="F22" s="28" t="n">
        <v>1</v>
      </c>
      <c r="G22" s="28" t="n">
        <v>1</v>
      </c>
      <c r="H22" s="28" t="n">
        <v>1</v>
      </c>
      <c r="I22" s="28" t="n">
        <v>1</v>
      </c>
      <c r="J22" s="28" t="n">
        <v>1</v>
      </c>
      <c r="K22" s="28" t="n">
        <v>1</v>
      </c>
      <c r="L22" s="28" t="n">
        <v>1</v>
      </c>
      <c r="M22" s="28" t="n">
        <v>1</v>
      </c>
      <c r="N22" s="28" t="n">
        <v>1</v>
      </c>
      <c r="O22" s="28" t="n">
        <v>1</v>
      </c>
      <c r="P22" s="28" t="n">
        <v>1</v>
      </c>
      <c r="Q22" s="28" t="n">
        <v>1</v>
      </c>
      <c r="R22" s="28" t="n">
        <v>1</v>
      </c>
      <c r="S22" s="28" t="n">
        <v>1</v>
      </c>
      <c r="T22" s="28" t="n">
        <v>1</v>
      </c>
      <c r="U22" s="28" t="n">
        <v>1</v>
      </c>
      <c r="V22" s="28" t="n">
        <v>1</v>
      </c>
      <c r="W22" s="28" t="n">
        <v>1</v>
      </c>
      <c r="X22" s="28" t="n">
        <v>1</v>
      </c>
    </row>
    <row r="23" customFormat="false" ht="15" hidden="false" customHeight="false" outlineLevel="0" collapsed="false">
      <c r="A23" s="18" t="s">
        <v>119</v>
      </c>
      <c r="C23" s="28" t="n">
        <v>0</v>
      </c>
      <c r="D23" s="28" t="n">
        <v>0</v>
      </c>
      <c r="E23" s="28" t="n">
        <v>0.7</v>
      </c>
      <c r="F23" s="28" t="n">
        <v>1</v>
      </c>
      <c r="G23" s="28" t="n">
        <v>1</v>
      </c>
      <c r="H23" s="28" t="n">
        <v>1</v>
      </c>
      <c r="I23" s="28" t="n">
        <v>1</v>
      </c>
      <c r="J23" s="28" t="n">
        <v>1</v>
      </c>
      <c r="K23" s="28" t="n">
        <v>1</v>
      </c>
      <c r="L23" s="28" t="n">
        <v>1</v>
      </c>
      <c r="M23" s="28" t="n">
        <v>1</v>
      </c>
      <c r="N23" s="28" t="n">
        <v>1</v>
      </c>
      <c r="O23" s="28" t="n">
        <v>1</v>
      </c>
      <c r="P23" s="28" t="n">
        <v>1</v>
      </c>
      <c r="Q23" s="28" t="n">
        <v>1</v>
      </c>
      <c r="R23" s="28" t="n">
        <v>1</v>
      </c>
      <c r="S23" s="28" t="n">
        <v>1</v>
      </c>
      <c r="T23" s="28" t="n">
        <v>1</v>
      </c>
      <c r="U23" s="28" t="n">
        <v>1</v>
      </c>
      <c r="V23" s="28" t="n">
        <v>1</v>
      </c>
      <c r="W23" s="28" t="n">
        <v>1</v>
      </c>
      <c r="X23" s="28" t="n">
        <v>1</v>
      </c>
    </row>
    <row r="24" customFormat="false" ht="15" hidden="false" customHeight="false" outlineLevel="0" collapsed="false">
      <c r="A24" s="18" t="s">
        <v>120</v>
      </c>
      <c r="C24" s="28" t="n">
        <v>0</v>
      </c>
      <c r="D24" s="28" t="n">
        <v>0</v>
      </c>
      <c r="E24" s="28" t="n">
        <v>0.6</v>
      </c>
      <c r="F24" s="28" t="n">
        <v>1</v>
      </c>
      <c r="G24" s="28" t="n">
        <v>1</v>
      </c>
      <c r="H24" s="28" t="n">
        <v>1</v>
      </c>
      <c r="I24" s="28" t="n">
        <v>1</v>
      </c>
      <c r="J24" s="28" t="n">
        <v>1</v>
      </c>
      <c r="K24" s="28" t="n">
        <v>1</v>
      </c>
      <c r="L24" s="28" t="n">
        <v>1</v>
      </c>
      <c r="M24" s="28" t="n">
        <v>1</v>
      </c>
      <c r="N24" s="28" t="n">
        <v>1</v>
      </c>
      <c r="O24" s="28" t="n">
        <v>1</v>
      </c>
      <c r="P24" s="28" t="n">
        <v>1</v>
      </c>
      <c r="Q24" s="28" t="n">
        <v>1</v>
      </c>
      <c r="R24" s="28" t="n">
        <v>1</v>
      </c>
      <c r="S24" s="28" t="n">
        <v>1</v>
      </c>
      <c r="T24" s="28" t="n">
        <v>1</v>
      </c>
      <c r="U24" s="28" t="n">
        <v>1</v>
      </c>
      <c r="V24" s="28" t="n">
        <v>1</v>
      </c>
      <c r="W24" s="28" t="n">
        <v>1</v>
      </c>
      <c r="X24" s="28" t="n">
        <v>1</v>
      </c>
    </row>
    <row r="25" customFormat="false" ht="15" hidden="false" customHeight="false" outlineLevel="0" collapsed="false">
      <c r="A25" s="18" t="s">
        <v>121</v>
      </c>
      <c r="C25" s="28" t="n">
        <v>0</v>
      </c>
      <c r="D25" s="28" t="n">
        <v>0</v>
      </c>
      <c r="E25" s="28" t="n">
        <v>0.4</v>
      </c>
      <c r="F25" s="28" t="n">
        <v>1</v>
      </c>
      <c r="G25" s="28" t="n">
        <v>1</v>
      </c>
      <c r="H25" s="28" t="n">
        <v>1</v>
      </c>
      <c r="I25" s="28" t="n">
        <v>1</v>
      </c>
      <c r="J25" s="28" t="n">
        <v>1</v>
      </c>
      <c r="K25" s="28" t="n">
        <v>1</v>
      </c>
      <c r="L25" s="28" t="n">
        <v>1</v>
      </c>
      <c r="M25" s="28" t="n">
        <v>1</v>
      </c>
      <c r="N25" s="28" t="n">
        <v>1</v>
      </c>
      <c r="O25" s="28" t="n">
        <v>1</v>
      </c>
      <c r="P25" s="28" t="n">
        <v>1</v>
      </c>
      <c r="Q25" s="28" t="n">
        <v>1</v>
      </c>
      <c r="R25" s="28" t="n">
        <v>1</v>
      </c>
      <c r="S25" s="28" t="n">
        <v>1</v>
      </c>
      <c r="T25" s="28" t="n">
        <v>1</v>
      </c>
      <c r="U25" s="28" t="n">
        <v>1</v>
      </c>
      <c r="V25" s="28" t="n">
        <v>1</v>
      </c>
      <c r="W25" s="28" t="n">
        <v>1</v>
      </c>
      <c r="X25" s="28" t="n">
        <v>1</v>
      </c>
    </row>
    <row r="26" customFormat="false" ht="15" hidden="false" customHeight="false" outlineLevel="0" collapsed="false">
      <c r="A26" s="18" t="s">
        <v>122</v>
      </c>
      <c r="C26" s="28" t="n">
        <v>0.8</v>
      </c>
      <c r="D26" s="28" t="n">
        <v>0.8</v>
      </c>
      <c r="E26" s="28" t="n">
        <v>0.8</v>
      </c>
      <c r="F26" s="28" t="n">
        <v>1</v>
      </c>
      <c r="G26" s="28" t="n">
        <v>1</v>
      </c>
      <c r="H26" s="28" t="n">
        <v>1</v>
      </c>
      <c r="I26" s="28" t="n">
        <v>1</v>
      </c>
      <c r="J26" s="28" t="n">
        <v>1</v>
      </c>
      <c r="K26" s="28" t="n">
        <v>1</v>
      </c>
      <c r="L26" s="28" t="n">
        <v>1</v>
      </c>
      <c r="M26" s="28" t="n">
        <v>1</v>
      </c>
      <c r="N26" s="28" t="n">
        <v>1</v>
      </c>
      <c r="O26" s="28" t="n">
        <v>1</v>
      </c>
      <c r="P26" s="28" t="n">
        <v>1</v>
      </c>
      <c r="Q26" s="28" t="n">
        <v>1</v>
      </c>
      <c r="R26" s="28" t="n">
        <v>1</v>
      </c>
      <c r="S26" s="28" t="n">
        <v>1</v>
      </c>
      <c r="T26" s="28" t="n">
        <v>1</v>
      </c>
      <c r="U26" s="28" t="n">
        <v>1</v>
      </c>
      <c r="V26" s="28" t="n">
        <v>1</v>
      </c>
      <c r="W26" s="28" t="n">
        <v>1</v>
      </c>
      <c r="X26" s="28" t="n">
        <v>1</v>
      </c>
    </row>
    <row r="27" customFormat="false" ht="15" hidden="false" customHeight="false" outlineLevel="0" collapsed="false">
      <c r="A27" s="18" t="s">
        <v>123</v>
      </c>
      <c r="C27" s="28" t="n">
        <v>0</v>
      </c>
      <c r="D27" s="28" t="n">
        <v>0</v>
      </c>
      <c r="E27" s="28" t="n">
        <v>0</v>
      </c>
      <c r="F27" s="28" t="n">
        <v>1</v>
      </c>
      <c r="G27" s="28" t="n">
        <v>1</v>
      </c>
      <c r="H27" s="28" t="n">
        <v>1</v>
      </c>
      <c r="I27" s="28" t="n">
        <v>1</v>
      </c>
      <c r="J27" s="28" t="n">
        <v>1</v>
      </c>
      <c r="K27" s="28" t="n">
        <v>1</v>
      </c>
      <c r="L27" s="28" t="n">
        <v>1</v>
      </c>
      <c r="M27" s="28" t="n">
        <v>1</v>
      </c>
      <c r="N27" s="28" t="n">
        <v>1</v>
      </c>
      <c r="O27" s="28" t="n">
        <v>1</v>
      </c>
      <c r="P27" s="28" t="n">
        <v>1</v>
      </c>
      <c r="Q27" s="28" t="n">
        <v>1</v>
      </c>
      <c r="R27" s="28" t="n">
        <v>1</v>
      </c>
      <c r="S27" s="28" t="n">
        <v>1</v>
      </c>
      <c r="T27" s="28" t="n">
        <v>1</v>
      </c>
      <c r="U27" s="28" t="n">
        <v>1</v>
      </c>
      <c r="V27" s="28" t="n">
        <v>1</v>
      </c>
      <c r="W27" s="28" t="n">
        <v>1</v>
      </c>
      <c r="X27" s="28" t="n">
        <v>1</v>
      </c>
    </row>
    <row r="28" customFormat="false" ht="15" hidden="false" customHeight="false" outlineLevel="0" collapsed="false">
      <c r="A28" s="18" t="s">
        <v>124</v>
      </c>
      <c r="C28" s="28" t="n">
        <v>0</v>
      </c>
      <c r="D28" s="28" t="n">
        <v>0</v>
      </c>
      <c r="E28" s="28" t="n">
        <v>1</v>
      </c>
      <c r="F28" s="28" t="n">
        <v>1</v>
      </c>
      <c r="G28" s="28" t="n">
        <v>1</v>
      </c>
      <c r="H28" s="28" t="n">
        <v>1</v>
      </c>
      <c r="I28" s="28" t="n">
        <v>1</v>
      </c>
      <c r="J28" s="28" t="n">
        <v>1</v>
      </c>
      <c r="K28" s="28" t="n">
        <v>1</v>
      </c>
      <c r="L28" s="28" t="n">
        <v>1</v>
      </c>
      <c r="M28" s="28" t="n">
        <v>1</v>
      </c>
      <c r="N28" s="28" t="n">
        <v>1</v>
      </c>
      <c r="O28" s="28" t="n">
        <v>1</v>
      </c>
      <c r="P28" s="28" t="n">
        <v>1</v>
      </c>
      <c r="Q28" s="28" t="n">
        <v>1</v>
      </c>
      <c r="R28" s="28" t="n">
        <v>1</v>
      </c>
      <c r="S28" s="28" t="n">
        <v>1</v>
      </c>
      <c r="T28" s="28" t="n">
        <v>1</v>
      </c>
      <c r="U28" s="28" t="n">
        <v>1</v>
      </c>
      <c r="V28" s="28" t="n">
        <v>1</v>
      </c>
      <c r="W28" s="28" t="n">
        <v>1</v>
      </c>
      <c r="X28" s="28" t="n">
        <v>1</v>
      </c>
    </row>
    <row r="29" customFormat="false" ht="15" hidden="false" customHeight="false" outlineLevel="0" collapsed="false">
      <c r="A29" s="18" t="s">
        <v>125</v>
      </c>
      <c r="C29" s="28" t="n">
        <v>0</v>
      </c>
      <c r="D29" s="28" t="n">
        <v>0</v>
      </c>
      <c r="E29" s="28" t="n">
        <v>0</v>
      </c>
      <c r="F29" s="28" t="n">
        <v>0</v>
      </c>
      <c r="G29" s="28" t="n">
        <v>0</v>
      </c>
      <c r="H29" s="28" t="n">
        <v>0.25</v>
      </c>
      <c r="I29" s="28" t="n">
        <v>0.5</v>
      </c>
      <c r="J29" s="28" t="n">
        <v>0.75</v>
      </c>
      <c r="K29" s="28" t="n">
        <v>1</v>
      </c>
      <c r="L29" s="28" t="n">
        <v>1</v>
      </c>
      <c r="M29" s="28" t="n">
        <v>1</v>
      </c>
      <c r="N29" s="28" t="n">
        <v>1</v>
      </c>
      <c r="O29" s="28" t="n">
        <v>1</v>
      </c>
      <c r="P29" s="28" t="n">
        <v>1</v>
      </c>
      <c r="Q29" s="28" t="n">
        <v>1</v>
      </c>
      <c r="R29" s="28" t="n">
        <v>1</v>
      </c>
      <c r="S29" s="28" t="n">
        <v>1</v>
      </c>
      <c r="T29" s="28" t="n">
        <v>1</v>
      </c>
      <c r="U29" s="28" t="n">
        <v>1</v>
      </c>
      <c r="V29" s="28" t="n">
        <v>1</v>
      </c>
      <c r="W29" s="28" t="n">
        <v>1</v>
      </c>
      <c r="X29" s="28" t="n">
        <v>1</v>
      </c>
    </row>
    <row r="30" customFormat="false" ht="15" hidden="false" customHeight="false" outlineLevel="0" collapsed="false">
      <c r="A30" s="18" t="s">
        <v>126</v>
      </c>
      <c r="C30" s="28" t="n">
        <v>1</v>
      </c>
      <c r="D30" s="28" t="n">
        <v>1</v>
      </c>
      <c r="E30" s="28" t="n">
        <v>1</v>
      </c>
      <c r="F30" s="28" t="n">
        <v>1</v>
      </c>
      <c r="G30" s="28" t="n">
        <v>1</v>
      </c>
      <c r="H30" s="28" t="n">
        <v>1</v>
      </c>
      <c r="I30" s="28" t="n">
        <v>1</v>
      </c>
      <c r="J30" s="28" t="n">
        <v>1</v>
      </c>
      <c r="K30" s="28" t="n">
        <v>1</v>
      </c>
      <c r="L30" s="28" t="n">
        <v>1</v>
      </c>
      <c r="M30" s="28" t="n">
        <v>1</v>
      </c>
      <c r="N30" s="28" t="n">
        <v>1</v>
      </c>
      <c r="O30" s="28" t="n">
        <v>1</v>
      </c>
      <c r="P30" s="28" t="n">
        <v>1</v>
      </c>
      <c r="Q30" s="28" t="n">
        <v>1</v>
      </c>
      <c r="R30" s="28" t="n">
        <v>1</v>
      </c>
      <c r="S30" s="28" t="n">
        <v>1</v>
      </c>
      <c r="T30" s="28" t="n">
        <v>1</v>
      </c>
      <c r="U30" s="28" t="n">
        <v>1</v>
      </c>
      <c r="V30" s="28" t="n">
        <v>1</v>
      </c>
      <c r="W30" s="28" t="n">
        <v>1</v>
      </c>
      <c r="X30" s="28" t="n">
        <v>1</v>
      </c>
    </row>
    <row r="32" customFormat="false" ht="15" hidden="false" customHeight="false" outlineLevel="0" collapsed="false">
      <c r="A32" s="25" t="s">
        <v>127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2" min="2" style="0" width="14"/>
    <col collapsed="false" customWidth="true" hidden="false" outlineLevel="0" max="24" min="3" style="0" width="11.5"/>
  </cols>
  <sheetData>
    <row r="1" customFormat="false" ht="16.15" hidden="false" customHeight="false" outlineLevel="0" collapsed="false">
      <c r="A1" s="1" t="s">
        <v>128</v>
      </c>
    </row>
    <row r="2" customFormat="false" ht="15" hidden="false" customHeight="false" outlineLevel="0" collapsed="false">
      <c r="A2" s="25" t="s">
        <v>129</v>
      </c>
    </row>
    <row r="4" customFormat="false" ht="15" hidden="false" customHeight="false" outlineLevel="0" collapsed="false">
      <c r="A4" s="20" t="s">
        <v>130</v>
      </c>
      <c r="B4" s="20" t="s">
        <v>3</v>
      </c>
      <c r="C4" s="21" t="n">
        <v>2026</v>
      </c>
      <c r="D4" s="21" t="n">
        <v>2027</v>
      </c>
      <c r="E4" s="21" t="n">
        <v>2028</v>
      </c>
      <c r="F4" s="21" t="n">
        <v>2029</v>
      </c>
      <c r="G4" s="21" t="n">
        <v>2030</v>
      </c>
      <c r="H4" s="21" t="n">
        <v>2031</v>
      </c>
      <c r="I4" s="21" t="n">
        <v>2032</v>
      </c>
      <c r="J4" s="21" t="n">
        <v>2033</v>
      </c>
      <c r="K4" s="21" t="n">
        <v>2034</v>
      </c>
      <c r="L4" s="21" t="n">
        <v>2035</v>
      </c>
      <c r="M4" s="21" t="n">
        <v>2036</v>
      </c>
      <c r="N4" s="21" t="n">
        <v>2037</v>
      </c>
      <c r="O4" s="21" t="n">
        <v>2038</v>
      </c>
      <c r="P4" s="21" t="n">
        <v>2039</v>
      </c>
      <c r="Q4" s="21" t="n">
        <v>2040</v>
      </c>
      <c r="R4" s="21" t="n">
        <v>2041</v>
      </c>
      <c r="S4" s="21" t="n">
        <v>2042</v>
      </c>
      <c r="T4" s="21" t="n">
        <v>2043</v>
      </c>
      <c r="U4" s="21" t="n">
        <v>2044</v>
      </c>
      <c r="V4" s="21" t="n">
        <v>2045</v>
      </c>
      <c r="W4" s="21" t="n">
        <v>2046</v>
      </c>
      <c r="X4" s="21" t="n">
        <v>2047</v>
      </c>
    </row>
    <row r="5" customFormat="false" ht="15" hidden="false" customHeight="false" outlineLevel="0" collapsed="false">
      <c r="A5" s="2" t="s">
        <v>6</v>
      </c>
      <c r="B5" s="29" t="n">
        <f aca="false">Basis!B5</f>
        <v>2933506</v>
      </c>
      <c r="C5" s="29" t="n">
        <f aca="false">$B5*Drivers!C30</f>
        <v>2933506</v>
      </c>
      <c r="D5" s="29" t="n">
        <f aca="false">$B5*Drivers!D30</f>
        <v>2933506</v>
      </c>
      <c r="E5" s="29" t="n">
        <f aca="false">$B5*Drivers!E30</f>
        <v>2933506</v>
      </c>
      <c r="F5" s="29" t="n">
        <f aca="false">$B5*Drivers!F30</f>
        <v>2933506</v>
      </c>
      <c r="G5" s="29" t="n">
        <f aca="false">$B5*Drivers!G30</f>
        <v>2933506</v>
      </c>
      <c r="H5" s="29" t="n">
        <f aca="false">$B5*Drivers!H30</f>
        <v>2933506</v>
      </c>
      <c r="I5" s="29" t="n">
        <f aca="false">$B5*Drivers!I30</f>
        <v>2933506</v>
      </c>
      <c r="J5" s="29" t="n">
        <f aca="false">$B5*Drivers!J30</f>
        <v>2933506</v>
      </c>
      <c r="K5" s="29" t="n">
        <f aca="false">$B5*Drivers!K30</f>
        <v>2933506</v>
      </c>
      <c r="L5" s="29" t="n">
        <f aca="false">$B5*Drivers!L30</f>
        <v>2933506</v>
      </c>
      <c r="M5" s="29" t="n">
        <f aca="false">$B5*Drivers!M30</f>
        <v>2933506</v>
      </c>
      <c r="N5" s="29" t="n">
        <f aca="false">$B5*Drivers!N30</f>
        <v>2933506</v>
      </c>
      <c r="O5" s="29" t="n">
        <f aca="false">$B5*Drivers!O30</f>
        <v>2933506</v>
      </c>
      <c r="P5" s="29" t="n">
        <f aca="false">$B5*Drivers!P30</f>
        <v>2933506</v>
      </c>
      <c r="Q5" s="29" t="n">
        <f aca="false">$B5*Drivers!Q30</f>
        <v>2933506</v>
      </c>
      <c r="R5" s="29" t="n">
        <f aca="false">$B5*Drivers!R30</f>
        <v>2933506</v>
      </c>
      <c r="S5" s="29" t="n">
        <f aca="false">$B5*Drivers!S30</f>
        <v>2933506</v>
      </c>
      <c r="T5" s="29" t="n">
        <f aca="false">$B5*Drivers!T30</f>
        <v>2933506</v>
      </c>
      <c r="U5" s="29" t="n">
        <f aca="false">$B5*Drivers!U30</f>
        <v>2933506</v>
      </c>
      <c r="V5" s="29" t="n">
        <f aca="false">$B5*Drivers!V30</f>
        <v>2933506</v>
      </c>
      <c r="W5" s="29" t="n">
        <f aca="false">$B5*Drivers!W30</f>
        <v>2933506</v>
      </c>
      <c r="X5" s="29" t="n">
        <f aca="false">$B5*Drivers!X30</f>
        <v>2933506</v>
      </c>
    </row>
    <row r="6" customFormat="false" ht="15" hidden="false" customHeight="false" outlineLevel="0" collapsed="false">
      <c r="A6" s="2" t="s">
        <v>9</v>
      </c>
      <c r="B6" s="29" t="n">
        <f aca="false">Basis!B6</f>
        <v>9136213</v>
      </c>
      <c r="C6" s="29" t="n">
        <f aca="false">$B6*Drivers!C18</f>
        <v>0</v>
      </c>
      <c r="D6" s="29" t="n">
        <f aca="false">$B6*Drivers!D18</f>
        <v>0</v>
      </c>
      <c r="E6" s="29" t="n">
        <f aca="false">$B6*Drivers!E18</f>
        <v>0</v>
      </c>
      <c r="F6" s="29" t="n">
        <f aca="false">$B6*Drivers!F18</f>
        <v>22491.9079271295</v>
      </c>
      <c r="G6" s="29" t="n">
        <f aca="false">$B6*Drivers!G18</f>
        <v>1772771.2884383</v>
      </c>
      <c r="H6" s="29" t="n">
        <f aca="false">$B6*Drivers!H18</f>
        <v>3142732.95309073</v>
      </c>
      <c r="I6" s="29" t="n">
        <f aca="false">$B6*Drivers!I18</f>
        <v>4512694.61774316</v>
      </c>
      <c r="J6" s="29" t="n">
        <f aca="false">$B6*Drivers!J18</f>
        <v>5882656.2823956</v>
      </c>
      <c r="K6" s="29" t="n">
        <f aca="false">$B6*Drivers!K18</f>
        <v>7252617.94704803</v>
      </c>
      <c r="L6" s="29" t="n">
        <f aca="false">$B6*Drivers!L18</f>
        <v>8463909.42486907</v>
      </c>
      <c r="M6" s="29" t="n">
        <f aca="false">$B6*Drivers!M18</f>
        <v>8973248.90347344</v>
      </c>
      <c r="N6" s="29" t="n">
        <f aca="false">$B6*Drivers!N18</f>
        <v>9120059.72067052</v>
      </c>
      <c r="O6" s="29" t="n">
        <f aca="false">$B6*Drivers!O18</f>
        <v>9134577.22487803</v>
      </c>
      <c r="P6" s="29" t="n">
        <f aca="false">$B6*Drivers!P18</f>
        <v>9135190.64054877</v>
      </c>
      <c r="Q6" s="29" t="n">
        <f aca="false">$B6*Drivers!Q18</f>
        <v>9135395.11243901</v>
      </c>
      <c r="R6" s="29" t="n">
        <f aca="false">$B6*Drivers!R18</f>
        <v>9136213</v>
      </c>
      <c r="S6" s="29" t="n">
        <f aca="false">$B6*Drivers!S18</f>
        <v>9136213</v>
      </c>
      <c r="T6" s="29" t="n">
        <f aca="false">$B6*Drivers!T18</f>
        <v>9136213</v>
      </c>
      <c r="U6" s="29" t="n">
        <f aca="false">$B6*Drivers!U18</f>
        <v>9136213</v>
      </c>
      <c r="V6" s="29" t="n">
        <f aca="false">$B6*Drivers!V18</f>
        <v>9136213</v>
      </c>
      <c r="W6" s="29" t="n">
        <f aca="false">$B6*Drivers!W18</f>
        <v>9136213</v>
      </c>
      <c r="X6" s="29" t="n">
        <f aca="false">$B6*Drivers!X18</f>
        <v>9136213</v>
      </c>
    </row>
    <row r="7" customFormat="false" ht="15" hidden="false" customHeight="false" outlineLevel="0" collapsed="false">
      <c r="A7" s="2" t="s">
        <v>12</v>
      </c>
      <c r="B7" s="29" t="n">
        <f aca="false">Basis!B7</f>
        <v>429101</v>
      </c>
      <c r="C7" s="29" t="n">
        <f aca="false">$B7*Drivers!C24</f>
        <v>0</v>
      </c>
      <c r="D7" s="29" t="n">
        <f aca="false">$B7*Drivers!D24</f>
        <v>0</v>
      </c>
      <c r="E7" s="29" t="n">
        <f aca="false">$B7*Drivers!E24</f>
        <v>257460.6</v>
      </c>
      <c r="F7" s="29" t="n">
        <f aca="false">$B7*Drivers!F24</f>
        <v>429101</v>
      </c>
      <c r="G7" s="29" t="n">
        <f aca="false">$B7*Drivers!G24</f>
        <v>429101</v>
      </c>
      <c r="H7" s="29" t="n">
        <f aca="false">$B7*Drivers!H24</f>
        <v>429101</v>
      </c>
      <c r="I7" s="29" t="n">
        <f aca="false">$B7*Drivers!I24</f>
        <v>429101</v>
      </c>
      <c r="J7" s="29" t="n">
        <f aca="false">$B7*Drivers!J24</f>
        <v>429101</v>
      </c>
      <c r="K7" s="29" t="n">
        <f aca="false">$B7*Drivers!K24</f>
        <v>429101</v>
      </c>
      <c r="L7" s="29" t="n">
        <f aca="false">$B7*Drivers!L24</f>
        <v>429101</v>
      </c>
      <c r="M7" s="29" t="n">
        <f aca="false">$B7*Drivers!M24</f>
        <v>429101</v>
      </c>
      <c r="N7" s="29" t="n">
        <f aca="false">$B7*Drivers!N24</f>
        <v>429101</v>
      </c>
      <c r="O7" s="29" t="n">
        <f aca="false">$B7*Drivers!O24</f>
        <v>429101</v>
      </c>
      <c r="P7" s="29" t="n">
        <f aca="false">$B7*Drivers!P24</f>
        <v>429101</v>
      </c>
      <c r="Q7" s="29" t="n">
        <f aca="false">$B7*Drivers!Q24</f>
        <v>429101</v>
      </c>
      <c r="R7" s="29" t="n">
        <f aca="false">$B7*Drivers!R24</f>
        <v>429101</v>
      </c>
      <c r="S7" s="29" t="n">
        <f aca="false">$B7*Drivers!S24</f>
        <v>429101</v>
      </c>
      <c r="T7" s="29" t="n">
        <f aca="false">$B7*Drivers!T24</f>
        <v>429101</v>
      </c>
      <c r="U7" s="29" t="n">
        <f aca="false">$B7*Drivers!U24</f>
        <v>429101</v>
      </c>
      <c r="V7" s="29" t="n">
        <f aca="false">$B7*Drivers!V24</f>
        <v>429101</v>
      </c>
      <c r="W7" s="29" t="n">
        <f aca="false">$B7*Drivers!W24</f>
        <v>429101</v>
      </c>
      <c r="X7" s="29" t="n">
        <f aca="false">$B7*Drivers!X24</f>
        <v>429101</v>
      </c>
    </row>
    <row r="8" customFormat="false" ht="15" hidden="false" customHeight="false" outlineLevel="0" collapsed="false">
      <c r="A8" s="2" t="s">
        <v>15</v>
      </c>
      <c r="B8" s="29" t="n">
        <f aca="false">Basis!B8</f>
        <v>15468903</v>
      </c>
      <c r="C8" s="29" t="n">
        <f aca="false">$B8*Drivers!C20</f>
        <v>0</v>
      </c>
      <c r="D8" s="29" t="n">
        <f aca="false">$B8*Drivers!D20</f>
        <v>0</v>
      </c>
      <c r="E8" s="29" t="n">
        <f aca="false">$B8*Drivers!E20</f>
        <v>5113949.45174538</v>
      </c>
      <c r="F8" s="29" t="n">
        <f aca="false">$B8*Drivers!F20</f>
        <v>5113949.45174538</v>
      </c>
      <c r="G8" s="29" t="n">
        <f aca="false">$B8*Drivers!G20</f>
        <v>5113949.45174538</v>
      </c>
      <c r="H8" s="29" t="n">
        <f aca="false">$B8*Drivers!H20</f>
        <v>8322079.23203285</v>
      </c>
      <c r="I8" s="29" t="n">
        <f aca="false">$B8*Drivers!I20</f>
        <v>8322079.23203285</v>
      </c>
      <c r="J8" s="29" t="n">
        <f aca="false">$B8*Drivers!J20</f>
        <v>11689027.3182752</v>
      </c>
      <c r="K8" s="29" t="n">
        <f aca="false">$B8*Drivers!K20</f>
        <v>11689027.3182752</v>
      </c>
      <c r="L8" s="29" t="n">
        <f aca="false">$B8*Drivers!L20</f>
        <v>13340737.7002053</v>
      </c>
      <c r="M8" s="29" t="n">
        <f aca="false">$B8*Drivers!M20</f>
        <v>13340737.7002053</v>
      </c>
      <c r="N8" s="29" t="n">
        <f aca="false">$B8*Drivers!N20</f>
        <v>15468903</v>
      </c>
      <c r="O8" s="29" t="n">
        <f aca="false">$B8*Drivers!O20</f>
        <v>15468903</v>
      </c>
      <c r="P8" s="29" t="n">
        <f aca="false">$B8*Drivers!P20</f>
        <v>15468903</v>
      </c>
      <c r="Q8" s="29" t="n">
        <f aca="false">$B8*Drivers!Q20</f>
        <v>15468903</v>
      </c>
      <c r="R8" s="29" t="n">
        <f aca="false">$B8*Drivers!R20</f>
        <v>15468903</v>
      </c>
      <c r="S8" s="29" t="n">
        <f aca="false">$B8*Drivers!S20</f>
        <v>15468903</v>
      </c>
      <c r="T8" s="29" t="n">
        <f aca="false">$B8*Drivers!T20</f>
        <v>15468903</v>
      </c>
      <c r="U8" s="29" t="n">
        <f aca="false">$B8*Drivers!U20</f>
        <v>15468903</v>
      </c>
      <c r="V8" s="29" t="n">
        <f aca="false">$B8*Drivers!V20</f>
        <v>15468903</v>
      </c>
      <c r="W8" s="29" t="n">
        <f aca="false">$B8*Drivers!W20</f>
        <v>15468903</v>
      </c>
      <c r="X8" s="29" t="n">
        <f aca="false">$B8*Drivers!X20</f>
        <v>15468903</v>
      </c>
    </row>
    <row r="9" customFormat="false" ht="15" hidden="false" customHeight="false" outlineLevel="0" collapsed="false">
      <c r="A9" s="2" t="s">
        <v>18</v>
      </c>
      <c r="B9" s="29" t="n">
        <f aca="false">Basis!B9</f>
        <v>5589661</v>
      </c>
      <c r="C9" s="29" t="n">
        <f aca="false">$B9*Drivers!C21</f>
        <v>0</v>
      </c>
      <c r="D9" s="29" t="n">
        <f aca="false">$B9*Drivers!D21</f>
        <v>0</v>
      </c>
      <c r="E9" s="29" t="n">
        <f aca="false">$B9*Drivers!E21</f>
        <v>0</v>
      </c>
      <c r="F9" s="29" t="n">
        <f aca="false">$B9*Drivers!F21</f>
        <v>2811768.86666667</v>
      </c>
      <c r="G9" s="29" t="n">
        <f aca="false">$B9*Drivers!G21</f>
        <v>5047633.26666667</v>
      </c>
      <c r="H9" s="29" t="n">
        <f aca="false">$B9*Drivers!H21</f>
        <v>5047633.26666667</v>
      </c>
      <c r="I9" s="29" t="n">
        <f aca="false">$B9*Drivers!I21</f>
        <v>5318647.13333333</v>
      </c>
      <c r="J9" s="29" t="n">
        <f aca="false">$B9*Drivers!J21</f>
        <v>5589661</v>
      </c>
      <c r="K9" s="29" t="n">
        <f aca="false">$B9*Drivers!K21</f>
        <v>5589661</v>
      </c>
      <c r="L9" s="29" t="n">
        <f aca="false">$B9*Drivers!L21</f>
        <v>5589661</v>
      </c>
      <c r="M9" s="29" t="n">
        <f aca="false">$B9*Drivers!M21</f>
        <v>5589661</v>
      </c>
      <c r="N9" s="29" t="n">
        <f aca="false">$B9*Drivers!N21</f>
        <v>5589661</v>
      </c>
      <c r="O9" s="29" t="n">
        <f aca="false">$B9*Drivers!O21</f>
        <v>5589661</v>
      </c>
      <c r="P9" s="29" t="n">
        <f aca="false">$B9*Drivers!P21</f>
        <v>5589661</v>
      </c>
      <c r="Q9" s="29" t="n">
        <f aca="false">$B9*Drivers!Q21</f>
        <v>5589661</v>
      </c>
      <c r="R9" s="29" t="n">
        <f aca="false">$B9*Drivers!R21</f>
        <v>5589661</v>
      </c>
      <c r="S9" s="29" t="n">
        <f aca="false">$B9*Drivers!S21</f>
        <v>5589661</v>
      </c>
      <c r="T9" s="29" t="n">
        <f aca="false">$B9*Drivers!T21</f>
        <v>5589661</v>
      </c>
      <c r="U9" s="29" t="n">
        <f aca="false">$B9*Drivers!U21</f>
        <v>5589661</v>
      </c>
      <c r="V9" s="29" t="n">
        <f aca="false">$B9*Drivers!V21</f>
        <v>5589661</v>
      </c>
      <c r="W9" s="29" t="n">
        <f aca="false">$B9*Drivers!W21</f>
        <v>5589661</v>
      </c>
      <c r="X9" s="29" t="n">
        <f aca="false">$B9*Drivers!X21</f>
        <v>5589661</v>
      </c>
    </row>
    <row r="10" customFormat="false" ht="15" hidden="false" customHeight="false" outlineLevel="0" collapsed="false">
      <c r="A10" s="2" t="s">
        <v>21</v>
      </c>
      <c r="B10" s="29" t="n">
        <f aca="false">Basis!B10</f>
        <v>1493148</v>
      </c>
      <c r="C10" s="29" t="n">
        <f aca="false">$B10*Drivers!C29</f>
        <v>0</v>
      </c>
      <c r="D10" s="29" t="n">
        <f aca="false">$B10*Drivers!D29</f>
        <v>0</v>
      </c>
      <c r="E10" s="29" t="n">
        <f aca="false">$B10*Drivers!E29</f>
        <v>0</v>
      </c>
      <c r="F10" s="29" t="n">
        <f aca="false">$B10*Drivers!F29</f>
        <v>0</v>
      </c>
      <c r="G10" s="29" t="n">
        <f aca="false">$B10*Drivers!G29</f>
        <v>0</v>
      </c>
      <c r="H10" s="29" t="n">
        <f aca="false">$B10*Drivers!H29</f>
        <v>373287</v>
      </c>
      <c r="I10" s="29" t="n">
        <f aca="false">$B10*Drivers!I29</f>
        <v>746574</v>
      </c>
      <c r="J10" s="29" t="n">
        <f aca="false">$B10*Drivers!J29</f>
        <v>1119861</v>
      </c>
      <c r="K10" s="29" t="n">
        <f aca="false">$B10*Drivers!K29</f>
        <v>1493148</v>
      </c>
      <c r="L10" s="29" t="n">
        <f aca="false">$B10*Drivers!L29</f>
        <v>1493148</v>
      </c>
      <c r="M10" s="29" t="n">
        <f aca="false">$B10*Drivers!M29</f>
        <v>1493148</v>
      </c>
      <c r="N10" s="29" t="n">
        <f aca="false">$B10*Drivers!N29</f>
        <v>1493148</v>
      </c>
      <c r="O10" s="29" t="n">
        <f aca="false">$B10*Drivers!O29</f>
        <v>1493148</v>
      </c>
      <c r="P10" s="29" t="n">
        <f aca="false">$B10*Drivers!P29</f>
        <v>1493148</v>
      </c>
      <c r="Q10" s="29" t="n">
        <f aca="false">$B10*Drivers!Q29</f>
        <v>1493148</v>
      </c>
      <c r="R10" s="29" t="n">
        <f aca="false">$B10*Drivers!R29</f>
        <v>1493148</v>
      </c>
      <c r="S10" s="29" t="n">
        <f aca="false">$B10*Drivers!S29</f>
        <v>1493148</v>
      </c>
      <c r="T10" s="29" t="n">
        <f aca="false">$B10*Drivers!T29</f>
        <v>1493148</v>
      </c>
      <c r="U10" s="29" t="n">
        <f aca="false">$B10*Drivers!U29</f>
        <v>1493148</v>
      </c>
      <c r="V10" s="29" t="n">
        <f aca="false">$B10*Drivers!V29</f>
        <v>1493148</v>
      </c>
      <c r="W10" s="29" t="n">
        <f aca="false">$B10*Drivers!W29</f>
        <v>1493148</v>
      </c>
      <c r="X10" s="29" t="n">
        <f aca="false">$B10*Drivers!X29</f>
        <v>1493148</v>
      </c>
    </row>
    <row r="11" customFormat="false" ht="15" hidden="false" customHeight="false" outlineLevel="0" collapsed="false">
      <c r="A11" s="2" t="s">
        <v>24</v>
      </c>
      <c r="B11" s="29" t="n">
        <f aca="false">Basis!B11</f>
        <v>3958805</v>
      </c>
      <c r="C11" s="29" t="n">
        <f aca="false">$B11*Drivers!C22</f>
        <v>0</v>
      </c>
      <c r="D11" s="29" t="n">
        <f aca="false">$B11*Drivers!D22</f>
        <v>0</v>
      </c>
      <c r="E11" s="29" t="n">
        <f aca="false">$B11*Drivers!E22</f>
        <v>1979402.5</v>
      </c>
      <c r="F11" s="29" t="n">
        <f aca="false">$B11*Drivers!F22</f>
        <v>3958805</v>
      </c>
      <c r="G11" s="29" t="n">
        <f aca="false">$B11*Drivers!G22</f>
        <v>3958805</v>
      </c>
      <c r="H11" s="29" t="n">
        <f aca="false">$B11*Drivers!H22</f>
        <v>3958805</v>
      </c>
      <c r="I11" s="29" t="n">
        <f aca="false">$B11*Drivers!I22</f>
        <v>3958805</v>
      </c>
      <c r="J11" s="29" t="n">
        <f aca="false">$B11*Drivers!J22</f>
        <v>3958805</v>
      </c>
      <c r="K11" s="29" t="n">
        <f aca="false">$B11*Drivers!K22</f>
        <v>3958805</v>
      </c>
      <c r="L11" s="29" t="n">
        <f aca="false">$B11*Drivers!L22</f>
        <v>3958805</v>
      </c>
      <c r="M11" s="29" t="n">
        <f aca="false">$B11*Drivers!M22</f>
        <v>3958805</v>
      </c>
      <c r="N11" s="29" t="n">
        <f aca="false">$B11*Drivers!N22</f>
        <v>3958805</v>
      </c>
      <c r="O11" s="29" t="n">
        <f aca="false">$B11*Drivers!O22</f>
        <v>3958805</v>
      </c>
      <c r="P11" s="29" t="n">
        <f aca="false">$B11*Drivers!P22</f>
        <v>3958805</v>
      </c>
      <c r="Q11" s="29" t="n">
        <f aca="false">$B11*Drivers!Q22</f>
        <v>3958805</v>
      </c>
      <c r="R11" s="29" t="n">
        <f aca="false">$B11*Drivers!R22</f>
        <v>3958805</v>
      </c>
      <c r="S11" s="29" t="n">
        <f aca="false">$B11*Drivers!S22</f>
        <v>3958805</v>
      </c>
      <c r="T11" s="29" t="n">
        <f aca="false">$B11*Drivers!T22</f>
        <v>3958805</v>
      </c>
      <c r="U11" s="29" t="n">
        <f aca="false">$B11*Drivers!U22</f>
        <v>3958805</v>
      </c>
      <c r="V11" s="29" t="n">
        <f aca="false">$B11*Drivers!V22</f>
        <v>3958805</v>
      </c>
      <c r="W11" s="29" t="n">
        <f aca="false">$B11*Drivers!W22</f>
        <v>3958805</v>
      </c>
      <c r="X11" s="29" t="n">
        <f aca="false">$B11*Drivers!X22</f>
        <v>3958805</v>
      </c>
    </row>
    <row r="12" customFormat="false" ht="15" hidden="false" customHeight="false" outlineLevel="0" collapsed="false">
      <c r="A12" s="2" t="s">
        <v>27</v>
      </c>
      <c r="B12" s="29" t="n">
        <f aca="false">Basis!B12</f>
        <v>87348</v>
      </c>
      <c r="C12" s="29" t="n">
        <f aca="false">$B12*Drivers!C24</f>
        <v>0</v>
      </c>
      <c r="D12" s="29" t="n">
        <f aca="false">$B12*Drivers!D24</f>
        <v>0</v>
      </c>
      <c r="E12" s="29" t="n">
        <f aca="false">$B12*Drivers!E24</f>
        <v>52408.8</v>
      </c>
      <c r="F12" s="29" t="n">
        <f aca="false">$B12*Drivers!F24</f>
        <v>87348</v>
      </c>
      <c r="G12" s="29" t="n">
        <f aca="false">$B12*Drivers!G24</f>
        <v>87348</v>
      </c>
      <c r="H12" s="29" t="n">
        <f aca="false">$B12*Drivers!H24</f>
        <v>87348</v>
      </c>
      <c r="I12" s="29" t="n">
        <f aca="false">$B12*Drivers!I24</f>
        <v>87348</v>
      </c>
      <c r="J12" s="29" t="n">
        <f aca="false">$B12*Drivers!J24</f>
        <v>87348</v>
      </c>
      <c r="K12" s="29" t="n">
        <f aca="false">$B12*Drivers!K24</f>
        <v>87348</v>
      </c>
      <c r="L12" s="29" t="n">
        <f aca="false">$B12*Drivers!L24</f>
        <v>87348</v>
      </c>
      <c r="M12" s="29" t="n">
        <f aca="false">$B12*Drivers!M24</f>
        <v>87348</v>
      </c>
      <c r="N12" s="29" t="n">
        <f aca="false">$B12*Drivers!N24</f>
        <v>87348</v>
      </c>
      <c r="O12" s="29" t="n">
        <f aca="false">$B12*Drivers!O24</f>
        <v>87348</v>
      </c>
      <c r="P12" s="29" t="n">
        <f aca="false">$B12*Drivers!P24</f>
        <v>87348</v>
      </c>
      <c r="Q12" s="29" t="n">
        <f aca="false">$B12*Drivers!Q24</f>
        <v>87348</v>
      </c>
      <c r="R12" s="29" t="n">
        <f aca="false">$B12*Drivers!R24</f>
        <v>87348</v>
      </c>
      <c r="S12" s="29" t="n">
        <f aca="false">$B12*Drivers!S24</f>
        <v>87348</v>
      </c>
      <c r="T12" s="29" t="n">
        <f aca="false">$B12*Drivers!T24</f>
        <v>87348</v>
      </c>
      <c r="U12" s="29" t="n">
        <f aca="false">$B12*Drivers!U24</f>
        <v>87348</v>
      </c>
      <c r="V12" s="29" t="n">
        <f aca="false">$B12*Drivers!V24</f>
        <v>87348</v>
      </c>
      <c r="W12" s="29" t="n">
        <f aca="false">$B12*Drivers!W24</f>
        <v>87348</v>
      </c>
      <c r="X12" s="29" t="n">
        <f aca="false">$B12*Drivers!X24</f>
        <v>87348</v>
      </c>
    </row>
    <row r="13" customFormat="false" ht="15" hidden="false" customHeight="false" outlineLevel="0" collapsed="false">
      <c r="A13" s="2" t="s">
        <v>30</v>
      </c>
      <c r="B13" s="29" t="n">
        <f aca="false">Basis!B13</f>
        <v>753013</v>
      </c>
      <c r="C13" s="29" t="n">
        <f aca="false">$B13*Drivers!C24</f>
        <v>0</v>
      </c>
      <c r="D13" s="29" t="n">
        <f aca="false">$B13*Drivers!D24</f>
        <v>0</v>
      </c>
      <c r="E13" s="29" t="n">
        <f aca="false">$B13*Drivers!E24</f>
        <v>451807.8</v>
      </c>
      <c r="F13" s="29" t="n">
        <f aca="false">$B13*Drivers!F24</f>
        <v>753013</v>
      </c>
      <c r="G13" s="29" t="n">
        <f aca="false">$B13*Drivers!G24</f>
        <v>753013</v>
      </c>
      <c r="H13" s="29" t="n">
        <f aca="false">$B13*Drivers!H24</f>
        <v>753013</v>
      </c>
      <c r="I13" s="29" t="n">
        <f aca="false">$B13*Drivers!I24</f>
        <v>753013</v>
      </c>
      <c r="J13" s="29" t="n">
        <f aca="false">$B13*Drivers!J24</f>
        <v>753013</v>
      </c>
      <c r="K13" s="29" t="n">
        <f aca="false">$B13*Drivers!K24</f>
        <v>753013</v>
      </c>
      <c r="L13" s="29" t="n">
        <f aca="false">$B13*Drivers!L24</f>
        <v>753013</v>
      </c>
      <c r="M13" s="29" t="n">
        <f aca="false">$B13*Drivers!M24</f>
        <v>753013</v>
      </c>
      <c r="N13" s="29" t="n">
        <f aca="false">$B13*Drivers!N24</f>
        <v>753013</v>
      </c>
      <c r="O13" s="29" t="n">
        <f aca="false">$B13*Drivers!O24</f>
        <v>753013</v>
      </c>
      <c r="P13" s="29" t="n">
        <f aca="false">$B13*Drivers!P24</f>
        <v>753013</v>
      </c>
      <c r="Q13" s="29" t="n">
        <f aca="false">$B13*Drivers!Q24</f>
        <v>753013</v>
      </c>
      <c r="R13" s="29" t="n">
        <f aca="false">$B13*Drivers!R24</f>
        <v>753013</v>
      </c>
      <c r="S13" s="29" t="n">
        <f aca="false">$B13*Drivers!S24</f>
        <v>753013</v>
      </c>
      <c r="T13" s="29" t="n">
        <f aca="false">$B13*Drivers!T24</f>
        <v>753013</v>
      </c>
      <c r="U13" s="29" t="n">
        <f aca="false">$B13*Drivers!U24</f>
        <v>753013</v>
      </c>
      <c r="V13" s="29" t="n">
        <f aca="false">$B13*Drivers!V24</f>
        <v>753013</v>
      </c>
      <c r="W13" s="29" t="n">
        <f aca="false">$B13*Drivers!W24</f>
        <v>753013</v>
      </c>
      <c r="X13" s="29" t="n">
        <f aca="false">$B13*Drivers!X24</f>
        <v>753013</v>
      </c>
    </row>
    <row r="14" customFormat="false" ht="15" hidden="false" customHeight="false" outlineLevel="0" collapsed="false">
      <c r="A14" s="2" t="s">
        <v>33</v>
      </c>
      <c r="B14" s="29" t="n">
        <f aca="false">Basis!B14</f>
        <v>1336490</v>
      </c>
      <c r="C14" s="29" t="n">
        <f aca="false">$B14*Drivers!C23</f>
        <v>0</v>
      </c>
      <c r="D14" s="29" t="n">
        <f aca="false">$B14*Drivers!D23</f>
        <v>0</v>
      </c>
      <c r="E14" s="29" t="n">
        <f aca="false">$B14*Drivers!E23</f>
        <v>935543</v>
      </c>
      <c r="F14" s="29" t="n">
        <f aca="false">$B14*Drivers!F23</f>
        <v>1336490</v>
      </c>
      <c r="G14" s="29" t="n">
        <f aca="false">$B14*Drivers!G23</f>
        <v>1336490</v>
      </c>
      <c r="H14" s="29" t="n">
        <f aca="false">$B14*Drivers!H23</f>
        <v>1336490</v>
      </c>
      <c r="I14" s="29" t="n">
        <f aca="false">$B14*Drivers!I23</f>
        <v>1336490</v>
      </c>
      <c r="J14" s="29" t="n">
        <f aca="false">$B14*Drivers!J23</f>
        <v>1336490</v>
      </c>
      <c r="K14" s="29" t="n">
        <f aca="false">$B14*Drivers!K23</f>
        <v>1336490</v>
      </c>
      <c r="L14" s="29" t="n">
        <f aca="false">$B14*Drivers!L23</f>
        <v>1336490</v>
      </c>
      <c r="M14" s="29" t="n">
        <f aca="false">$B14*Drivers!M23</f>
        <v>1336490</v>
      </c>
      <c r="N14" s="29" t="n">
        <f aca="false">$B14*Drivers!N23</f>
        <v>1336490</v>
      </c>
      <c r="O14" s="29" t="n">
        <f aca="false">$B14*Drivers!O23</f>
        <v>1336490</v>
      </c>
      <c r="P14" s="29" t="n">
        <f aca="false">$B14*Drivers!P23</f>
        <v>1336490</v>
      </c>
      <c r="Q14" s="29" t="n">
        <f aca="false">$B14*Drivers!Q23</f>
        <v>1336490</v>
      </c>
      <c r="R14" s="29" t="n">
        <f aca="false">$B14*Drivers!R23</f>
        <v>1336490</v>
      </c>
      <c r="S14" s="29" t="n">
        <f aca="false">$B14*Drivers!S23</f>
        <v>1336490</v>
      </c>
      <c r="T14" s="29" t="n">
        <f aca="false">$B14*Drivers!T23</f>
        <v>1336490</v>
      </c>
      <c r="U14" s="29" t="n">
        <f aca="false">$B14*Drivers!U23</f>
        <v>1336490</v>
      </c>
      <c r="V14" s="29" t="n">
        <f aca="false">$B14*Drivers!V23</f>
        <v>1336490</v>
      </c>
      <c r="W14" s="29" t="n">
        <f aca="false">$B14*Drivers!W23</f>
        <v>1336490</v>
      </c>
      <c r="X14" s="29" t="n">
        <f aca="false">$B14*Drivers!X23</f>
        <v>1336490</v>
      </c>
    </row>
    <row r="15" customFormat="false" ht="15" hidden="false" customHeight="false" outlineLevel="0" collapsed="false">
      <c r="A15" s="2" t="s">
        <v>36</v>
      </c>
      <c r="B15" s="29" t="n">
        <f aca="false">Basis!B15</f>
        <v>328489</v>
      </c>
      <c r="C15" s="29" t="n">
        <f aca="false">$B15*Drivers!C26</f>
        <v>262791.2</v>
      </c>
      <c r="D15" s="29" t="n">
        <f aca="false">$B15*Drivers!D26</f>
        <v>262791.2</v>
      </c>
      <c r="E15" s="29" t="n">
        <f aca="false">$B15*Drivers!E26</f>
        <v>262791.2</v>
      </c>
      <c r="F15" s="29" t="n">
        <f aca="false">$B15*Drivers!F26</f>
        <v>328489</v>
      </c>
      <c r="G15" s="29" t="n">
        <f aca="false">$B15*Drivers!G26</f>
        <v>328489</v>
      </c>
      <c r="H15" s="29" t="n">
        <f aca="false">$B15*Drivers!H26</f>
        <v>328489</v>
      </c>
      <c r="I15" s="29" t="n">
        <f aca="false">$B15*Drivers!I26</f>
        <v>328489</v>
      </c>
      <c r="J15" s="29" t="n">
        <f aca="false">$B15*Drivers!J26</f>
        <v>328489</v>
      </c>
      <c r="K15" s="29" t="n">
        <f aca="false">$B15*Drivers!K26</f>
        <v>328489</v>
      </c>
      <c r="L15" s="29" t="n">
        <f aca="false">$B15*Drivers!L26</f>
        <v>328489</v>
      </c>
      <c r="M15" s="29" t="n">
        <f aca="false">$B15*Drivers!M26</f>
        <v>328489</v>
      </c>
      <c r="N15" s="29" t="n">
        <f aca="false">$B15*Drivers!N26</f>
        <v>328489</v>
      </c>
      <c r="O15" s="29" t="n">
        <f aca="false">$B15*Drivers!O26</f>
        <v>328489</v>
      </c>
      <c r="P15" s="29" t="n">
        <f aca="false">$B15*Drivers!P26</f>
        <v>328489</v>
      </c>
      <c r="Q15" s="29" t="n">
        <f aca="false">$B15*Drivers!Q26</f>
        <v>328489</v>
      </c>
      <c r="R15" s="29" t="n">
        <f aca="false">$B15*Drivers!R26</f>
        <v>328489</v>
      </c>
      <c r="S15" s="29" t="n">
        <f aca="false">$B15*Drivers!S26</f>
        <v>328489</v>
      </c>
      <c r="T15" s="29" t="n">
        <f aca="false">$B15*Drivers!T26</f>
        <v>328489</v>
      </c>
      <c r="U15" s="29" t="n">
        <f aca="false">$B15*Drivers!U26</f>
        <v>328489</v>
      </c>
      <c r="V15" s="29" t="n">
        <f aca="false">$B15*Drivers!V26</f>
        <v>328489</v>
      </c>
      <c r="W15" s="29" t="n">
        <f aca="false">$B15*Drivers!W26</f>
        <v>328489</v>
      </c>
      <c r="X15" s="29" t="n">
        <f aca="false">$B15*Drivers!X26</f>
        <v>328489</v>
      </c>
    </row>
    <row r="16" customFormat="false" ht="15" hidden="false" customHeight="false" outlineLevel="0" collapsed="false">
      <c r="A16" s="2" t="s">
        <v>39</v>
      </c>
      <c r="B16" s="29" t="n">
        <f aca="false">Basis!B16</f>
        <v>116259</v>
      </c>
      <c r="C16" s="29" t="n">
        <f aca="false">$B16*Drivers!C27</f>
        <v>0</v>
      </c>
      <c r="D16" s="29" t="n">
        <f aca="false">$B16*Drivers!D27</f>
        <v>0</v>
      </c>
      <c r="E16" s="29" t="n">
        <f aca="false">$B16*Drivers!E27</f>
        <v>0</v>
      </c>
      <c r="F16" s="29" t="n">
        <f aca="false">$B16*Drivers!F27</f>
        <v>116259</v>
      </c>
      <c r="G16" s="29" t="n">
        <f aca="false">$B16*Drivers!G27</f>
        <v>116259</v>
      </c>
      <c r="H16" s="29" t="n">
        <f aca="false">$B16*Drivers!H27</f>
        <v>116259</v>
      </c>
      <c r="I16" s="29" t="n">
        <f aca="false">$B16*Drivers!I27</f>
        <v>116259</v>
      </c>
      <c r="J16" s="29" t="n">
        <f aca="false">$B16*Drivers!J27</f>
        <v>116259</v>
      </c>
      <c r="K16" s="29" t="n">
        <f aca="false">$B16*Drivers!K27</f>
        <v>116259</v>
      </c>
      <c r="L16" s="29" t="n">
        <f aca="false">$B16*Drivers!L27</f>
        <v>116259</v>
      </c>
      <c r="M16" s="29" t="n">
        <f aca="false">$B16*Drivers!M27</f>
        <v>116259</v>
      </c>
      <c r="N16" s="29" t="n">
        <f aca="false">$B16*Drivers!N27</f>
        <v>116259</v>
      </c>
      <c r="O16" s="29" t="n">
        <f aca="false">$B16*Drivers!O27</f>
        <v>116259</v>
      </c>
      <c r="P16" s="29" t="n">
        <f aca="false">$B16*Drivers!P27</f>
        <v>116259</v>
      </c>
      <c r="Q16" s="29" t="n">
        <f aca="false">$B16*Drivers!Q27</f>
        <v>116259</v>
      </c>
      <c r="R16" s="29" t="n">
        <f aca="false">$B16*Drivers!R27</f>
        <v>116259</v>
      </c>
      <c r="S16" s="29" t="n">
        <f aca="false">$B16*Drivers!S27</f>
        <v>116259</v>
      </c>
      <c r="T16" s="29" t="n">
        <f aca="false">$B16*Drivers!T27</f>
        <v>116259</v>
      </c>
      <c r="U16" s="29" t="n">
        <f aca="false">$B16*Drivers!U27</f>
        <v>116259</v>
      </c>
      <c r="V16" s="29" t="n">
        <f aca="false">$B16*Drivers!V27</f>
        <v>116259</v>
      </c>
      <c r="W16" s="29" t="n">
        <f aca="false">$B16*Drivers!W27</f>
        <v>116259</v>
      </c>
      <c r="X16" s="29" t="n">
        <f aca="false">$B16*Drivers!X27</f>
        <v>116259</v>
      </c>
    </row>
    <row r="17" customFormat="false" ht="15" hidden="false" customHeight="false" outlineLevel="0" collapsed="false">
      <c r="A17" s="2" t="s">
        <v>42</v>
      </c>
      <c r="B17" s="29" t="n">
        <f aca="false">Basis!B17</f>
        <v>1940723</v>
      </c>
      <c r="C17" s="29" t="n">
        <f aca="false">$B17*Drivers!C25</f>
        <v>0</v>
      </c>
      <c r="D17" s="29" t="n">
        <f aca="false">$B17*Drivers!D25</f>
        <v>0</v>
      </c>
      <c r="E17" s="29" t="n">
        <f aca="false">$B17*Drivers!E25</f>
        <v>776289.2</v>
      </c>
      <c r="F17" s="29" t="n">
        <f aca="false">$B17*Drivers!F25</f>
        <v>1940723</v>
      </c>
      <c r="G17" s="29" t="n">
        <f aca="false">$B17*Drivers!G25</f>
        <v>1940723</v>
      </c>
      <c r="H17" s="29" t="n">
        <f aca="false">$B17*Drivers!H25</f>
        <v>1940723</v>
      </c>
      <c r="I17" s="29" t="n">
        <f aca="false">$B17*Drivers!I25</f>
        <v>1940723</v>
      </c>
      <c r="J17" s="29" t="n">
        <f aca="false">$B17*Drivers!J25</f>
        <v>1940723</v>
      </c>
      <c r="K17" s="29" t="n">
        <f aca="false">$B17*Drivers!K25</f>
        <v>1940723</v>
      </c>
      <c r="L17" s="29" t="n">
        <f aca="false">$B17*Drivers!L25</f>
        <v>1940723</v>
      </c>
      <c r="M17" s="29" t="n">
        <f aca="false">$B17*Drivers!M25</f>
        <v>1940723</v>
      </c>
      <c r="N17" s="29" t="n">
        <f aca="false">$B17*Drivers!N25</f>
        <v>1940723</v>
      </c>
      <c r="O17" s="29" t="n">
        <f aca="false">$B17*Drivers!O25</f>
        <v>1940723</v>
      </c>
      <c r="P17" s="29" t="n">
        <f aca="false">$B17*Drivers!P25</f>
        <v>1940723</v>
      </c>
      <c r="Q17" s="29" t="n">
        <f aca="false">$B17*Drivers!Q25</f>
        <v>1940723</v>
      </c>
      <c r="R17" s="29" t="n">
        <f aca="false">$B17*Drivers!R25</f>
        <v>1940723</v>
      </c>
      <c r="S17" s="29" t="n">
        <f aca="false">$B17*Drivers!S25</f>
        <v>1940723</v>
      </c>
      <c r="T17" s="29" t="n">
        <f aca="false">$B17*Drivers!T25</f>
        <v>1940723</v>
      </c>
      <c r="U17" s="29" t="n">
        <f aca="false">$B17*Drivers!U25</f>
        <v>1940723</v>
      </c>
      <c r="V17" s="29" t="n">
        <f aca="false">$B17*Drivers!V25</f>
        <v>1940723</v>
      </c>
      <c r="W17" s="29" t="n">
        <f aca="false">$B17*Drivers!W25</f>
        <v>1940723</v>
      </c>
      <c r="X17" s="29" t="n">
        <f aca="false">$B17*Drivers!X25</f>
        <v>1940723</v>
      </c>
    </row>
    <row r="18" customFormat="false" ht="15" hidden="false" customHeight="false" outlineLevel="0" collapsed="false">
      <c r="A18" s="2" t="s">
        <v>45</v>
      </c>
      <c r="B18" s="29" t="n">
        <f aca="false">Basis!B18</f>
        <v>3865851</v>
      </c>
      <c r="C18" s="29" t="n">
        <f aca="false">$B18*Drivers!C28</f>
        <v>0</v>
      </c>
      <c r="D18" s="29" t="n">
        <f aca="false">$B18*Drivers!D28</f>
        <v>0</v>
      </c>
      <c r="E18" s="29" t="n">
        <f aca="false">$B18*Drivers!E28</f>
        <v>3865851</v>
      </c>
      <c r="F18" s="29" t="n">
        <f aca="false">$B18*Drivers!F28</f>
        <v>3865851</v>
      </c>
      <c r="G18" s="29" t="n">
        <f aca="false">$B18*Drivers!G28</f>
        <v>3865851</v>
      </c>
      <c r="H18" s="29" t="n">
        <f aca="false">$B18*Drivers!H28</f>
        <v>3865851</v>
      </c>
      <c r="I18" s="29" t="n">
        <f aca="false">$B18*Drivers!I28</f>
        <v>3865851</v>
      </c>
      <c r="J18" s="29" t="n">
        <f aca="false">$B18*Drivers!J28</f>
        <v>3865851</v>
      </c>
      <c r="K18" s="29" t="n">
        <f aca="false">$B18*Drivers!K28</f>
        <v>3865851</v>
      </c>
      <c r="L18" s="29" t="n">
        <f aca="false">$B18*Drivers!L28</f>
        <v>3865851</v>
      </c>
      <c r="M18" s="29" t="n">
        <f aca="false">$B18*Drivers!M28</f>
        <v>3865851</v>
      </c>
      <c r="N18" s="29" t="n">
        <f aca="false">$B18*Drivers!N28</f>
        <v>3865851</v>
      </c>
      <c r="O18" s="29" t="n">
        <f aca="false">$B18*Drivers!O28</f>
        <v>3865851</v>
      </c>
      <c r="P18" s="29" t="n">
        <f aca="false">$B18*Drivers!P28</f>
        <v>3865851</v>
      </c>
      <c r="Q18" s="29" t="n">
        <f aca="false">$B18*Drivers!Q28</f>
        <v>3865851</v>
      </c>
      <c r="R18" s="29" t="n">
        <f aca="false">$B18*Drivers!R28</f>
        <v>3865851</v>
      </c>
      <c r="S18" s="29" t="n">
        <f aca="false">$B18*Drivers!S28</f>
        <v>3865851</v>
      </c>
      <c r="T18" s="29" t="n">
        <f aca="false">$B18*Drivers!T28</f>
        <v>3865851</v>
      </c>
      <c r="U18" s="29" t="n">
        <f aca="false">$B18*Drivers!U28</f>
        <v>3865851</v>
      </c>
      <c r="V18" s="29" t="n">
        <f aca="false">$B18*Drivers!V28</f>
        <v>3865851</v>
      </c>
      <c r="W18" s="29" t="n">
        <f aca="false">$B18*Drivers!W28</f>
        <v>3865851</v>
      </c>
      <c r="X18" s="29" t="n">
        <f aca="false">$B18*Drivers!X28</f>
        <v>3865851</v>
      </c>
    </row>
    <row r="19" customFormat="false" ht="15" hidden="false" customHeight="false" outlineLevel="0" collapsed="false">
      <c r="A19" s="2" t="s">
        <v>48</v>
      </c>
      <c r="B19" s="29" t="n">
        <f aca="false">Basis!B19</f>
        <v>866143</v>
      </c>
      <c r="C19" s="29" t="n">
        <f aca="false">$B19*(C5+C6+C7+C8)/($B5+$B6+$B7+$B8)</f>
        <v>90848.8577120848</v>
      </c>
      <c r="D19" s="29" t="n">
        <f aca="false">$B19*(D5+D6+D7+D8)/($B5+$B6+$B7+$B8)</f>
        <v>90848.8577120848</v>
      </c>
      <c r="E19" s="29" t="n">
        <f aca="false">$B19*(E5+E6+E7+E8)/($B5+$B6+$B7+$B8)</f>
        <v>257198.088804258</v>
      </c>
      <c r="F19" s="29" t="n">
        <f aca="false">$B19*(F5+F6+F7+F8)/($B5+$B6+$B7+$B8)</f>
        <v>263210.245731904</v>
      </c>
      <c r="G19" s="29" t="n">
        <f aca="false">$B19*(G5+G6+G7+G8)/($B5+$B6+$B7+$B8)</f>
        <v>317415.310387117</v>
      </c>
      <c r="H19" s="29" t="n">
        <f aca="false">$B19*(H5+H6+H7+H8)/($B5+$B6+$B7+$B8)</f>
        <v>459195.957256173</v>
      </c>
      <c r="I19" s="29" t="n">
        <f aca="false">$B19*(I5+I6+I7+I8)/($B5+$B6+$B7+$B8)</f>
        <v>501622.818610137</v>
      </c>
      <c r="J19" s="29" t="n">
        <f aca="false">$B19*(J5+J6+J7+J8)/($B5+$B6+$B7+$B8)</f>
        <v>648321.969712613</v>
      </c>
      <c r="K19" s="29" t="n">
        <f aca="false">$B19*(K5+K6+K7+K8)/($B5+$B6+$B7+$B8)</f>
        <v>690748.831066577</v>
      </c>
      <c r="L19" s="29" t="n">
        <f aca="false">$B19*(L5+L6+L7+L8)/($B5+$B6+$B7+$B8)</f>
        <v>779414.219371893</v>
      </c>
      <c r="M19" s="29" t="n">
        <f aca="false">$B19*(M5+M6+M7+M8)/($B5+$B6+$B7+$B8)</f>
        <v>795188.146481254</v>
      </c>
      <c r="N19" s="29" t="n">
        <f aca="false">$B19*(N5+N6+N7+N8)/($B5+$B6+$B7+$B8)</f>
        <v>865642.742978065</v>
      </c>
      <c r="O19" s="29" t="n">
        <f aca="false">$B19*(O5+O6+O7+O8)/($B5+$B6+$B7+$B8)</f>
        <v>866092.34106107</v>
      </c>
      <c r="P19" s="29" t="n">
        <f aca="false">$B19*(P5+P6+P7+P8)/($B5+$B6+$B7+$B8)</f>
        <v>866111.338163169</v>
      </c>
      <c r="Q19" s="29" t="n">
        <f aca="false">$B19*(Q5+Q6+Q7+Q8)/($B5+$B6+$B7+$B8)</f>
        <v>866117.670530535</v>
      </c>
      <c r="R19" s="29" t="n">
        <f aca="false">$B19*(R5+R6+R7+R8)/($B5+$B6+$B7+$B8)</f>
        <v>866143</v>
      </c>
      <c r="S19" s="29" t="n">
        <f aca="false">$B19*(S5+S6+S7+S8)/($B5+$B6+$B7+$B8)</f>
        <v>866143</v>
      </c>
      <c r="T19" s="29" t="n">
        <f aca="false">$B19*(T5+T6+T7+T8)/($B5+$B6+$B7+$B8)</f>
        <v>866143</v>
      </c>
      <c r="U19" s="29" t="n">
        <f aca="false">$B19*(U5+U6+U7+U8)/($B5+$B6+$B7+$B8)</f>
        <v>866143</v>
      </c>
      <c r="V19" s="29" t="n">
        <f aca="false">$B19*(V5+V6+V7+V8)/($B5+$B6+$B7+$B8)</f>
        <v>866143</v>
      </c>
      <c r="W19" s="29" t="n">
        <f aca="false">$B19*(W5+W6+W7+W8)/($B5+$B6+$B7+$B8)</f>
        <v>866143</v>
      </c>
      <c r="X19" s="29" t="n">
        <f aca="false">$B19*(X5+X6+X7+X8)/($B5+$B6+$B7+$B8)</f>
        <v>866143</v>
      </c>
    </row>
    <row r="20" customFormat="false" ht="15" hidden="false" customHeight="false" outlineLevel="0" collapsed="false">
      <c r="A20" s="2" t="s">
        <v>51</v>
      </c>
      <c r="B20" s="29" t="n">
        <f aca="false">Basis!B20</f>
        <v>644762</v>
      </c>
      <c r="C20" s="29" t="n">
        <f aca="false">$B20*Drivers!C28</f>
        <v>0</v>
      </c>
      <c r="D20" s="29" t="n">
        <f aca="false">$B20*Drivers!D28</f>
        <v>0</v>
      </c>
      <c r="E20" s="29" t="n">
        <f aca="false">$B20*Drivers!E28</f>
        <v>644762</v>
      </c>
      <c r="F20" s="29" t="n">
        <f aca="false">$B20*Drivers!F28</f>
        <v>644762</v>
      </c>
      <c r="G20" s="29" t="n">
        <f aca="false">$B20*Drivers!G28</f>
        <v>644762</v>
      </c>
      <c r="H20" s="29" t="n">
        <f aca="false">$B20*Drivers!H28</f>
        <v>644762</v>
      </c>
      <c r="I20" s="29" t="n">
        <f aca="false">$B20*Drivers!I28</f>
        <v>644762</v>
      </c>
      <c r="J20" s="29" t="n">
        <f aca="false">$B20*Drivers!J28</f>
        <v>644762</v>
      </c>
      <c r="K20" s="29" t="n">
        <f aca="false">$B20*Drivers!K28</f>
        <v>644762</v>
      </c>
      <c r="L20" s="29" t="n">
        <f aca="false">$B20*Drivers!L28</f>
        <v>644762</v>
      </c>
      <c r="M20" s="29" t="n">
        <f aca="false">$B20*Drivers!M28</f>
        <v>644762</v>
      </c>
      <c r="N20" s="29" t="n">
        <f aca="false">$B20*Drivers!N28</f>
        <v>644762</v>
      </c>
      <c r="O20" s="29" t="n">
        <f aca="false">$B20*Drivers!O28</f>
        <v>644762</v>
      </c>
      <c r="P20" s="29" t="n">
        <f aca="false">$B20*Drivers!P28</f>
        <v>644762</v>
      </c>
      <c r="Q20" s="29" t="n">
        <f aca="false">$B20*Drivers!Q28</f>
        <v>644762</v>
      </c>
      <c r="R20" s="29" t="n">
        <f aca="false">$B20*Drivers!R28</f>
        <v>644762</v>
      </c>
      <c r="S20" s="29" t="n">
        <f aca="false">$B20*Drivers!S28</f>
        <v>644762</v>
      </c>
      <c r="T20" s="29" t="n">
        <f aca="false">$B20*Drivers!T28</f>
        <v>644762</v>
      </c>
      <c r="U20" s="29" t="n">
        <f aca="false">$B20*Drivers!U28</f>
        <v>644762</v>
      </c>
      <c r="V20" s="29" t="n">
        <f aca="false">$B20*Drivers!V28</f>
        <v>644762</v>
      </c>
      <c r="W20" s="29" t="n">
        <f aca="false">$B20*Drivers!W28</f>
        <v>644762</v>
      </c>
      <c r="X20" s="29" t="n">
        <f aca="false">$B20*Drivers!X28</f>
        <v>644762</v>
      </c>
    </row>
    <row r="21" customFormat="false" ht="15" hidden="false" customHeight="false" outlineLevel="0" collapsed="false">
      <c r="A21" s="2" t="s">
        <v>54</v>
      </c>
      <c r="B21" s="29" t="n">
        <f aca="false">Basis!B21</f>
        <v>2331441</v>
      </c>
      <c r="C21" s="29" t="n">
        <f aca="false">Basis!$B$44*(C5+C6+C7+C8+C9+C10+C11+C12+C13+C14+C15+C16+C17+C18+C19+C20+C22)</f>
        <v>156977.494435593</v>
      </c>
      <c r="D21" s="29" t="n">
        <f aca="false">Basis!$B$44*(D5+D6+D7+D8+D9+D10+D11+D12+D13+D14+D15+D16+D17+D18+D19+D20+D22)</f>
        <v>156977.494435593</v>
      </c>
      <c r="E21" s="29" t="n">
        <f aca="false">Basis!$B$44*(E5+E6+E7+E8+E9+E10+E11+E12+E13+E14+E15+E16+E17+E18+E19+E20+E22)</f>
        <v>832777.07812793</v>
      </c>
      <c r="F21" s="29" t="n">
        <f aca="false">Basis!$B$44*(F5+F6+F7+F8+F9+F10+F11+F12+F13+F14+F15+F16+F17+F18+F19+F20+F22)</f>
        <v>1168644.7578943</v>
      </c>
      <c r="G21" s="29" t="n">
        <f aca="false">Basis!$B$44*(G5+G6+G7+G8+G9+G10+G11+G12+G13+G14+G15+G16+G17+G18+G19+G20+G22)</f>
        <v>1361820.18482478</v>
      </c>
      <c r="H21" s="29" t="n">
        <f aca="false">Basis!$B$44*(H5+H6+H7+H8+H9+H10+H11+H12+H13+H14+H15+H16+H17+H18+H19+H20+H22)</f>
        <v>1605063.50410059</v>
      </c>
      <c r="I21" s="29" t="n">
        <f aca="false">Basis!$B$44*(I5+I6+I7+I8+I9+I10+I11+I12+I13+I14+I15+I16+I17+I18+I19+I20+I22)</f>
        <v>1703163.68154555</v>
      </c>
      <c r="J21" s="29" t="n">
        <f aca="false">Basis!$B$44*(J5+J6+J7+J8+J9+J10+J11+J12+J13+J14+J15+J16+J17+J18+J19+J20+J22)</f>
        <v>1967193.66344069</v>
      </c>
      <c r="K21" s="29" t="n">
        <f aca="false">Basis!$B$44*(K5+K6+K7+K8+K9+K10+K11+K12+K13+K14+K15+K16+K17+K18+K19+K20+K22)</f>
        <v>2052334.05583473</v>
      </c>
      <c r="L21" s="29" t="n">
        <f aca="false">Basis!$B$44*(L5+L6+L7+L8+L9+L10+L11+L12+L13+L14+L15+L16+L17+L18+L19+L20+L22)</f>
        <v>2193428.40197868</v>
      </c>
      <c r="M21" s="29" t="n">
        <f aca="false">Basis!$B$44*(M5+M6+M7+M8+M9+M10+M11+M12+M13+M14+M15+M16+M17+M18+M19+M20+M22)</f>
        <v>2218529.65032549</v>
      </c>
      <c r="N21" s="29" t="n">
        <f aca="false">Basis!$B$44*(N5+N6+N7+N8+N9+N10+N11+N12+N13+N14+N15+N16+N17+N18+N19+N20+N22)</f>
        <v>2330644.93471722</v>
      </c>
      <c r="O21" s="29" t="n">
        <f aca="false">Basis!$B$44*(O5+O6+O7+O8+O9+O10+O11+O12+O13+O14+O15+O16+O17+O18+O19+O20+O22)</f>
        <v>2331360.38579415</v>
      </c>
      <c r="P21" s="29" t="n">
        <f aca="false">Basis!$B$44*(P5+P6+P7+P8+P9+P10+P11+P12+P13+P14+P15+P16+P17+P18+P19+P20+P22)</f>
        <v>2331390.61612134</v>
      </c>
      <c r="Q21" s="29" t="n">
        <f aca="false">Basis!$B$44*(Q5+Q6+Q7+Q8+Q9+Q10+Q11+Q12+Q13+Q14+Q15+Q16+Q17+Q18+Q19+Q20+Q22)</f>
        <v>2331400.69289708</v>
      </c>
      <c r="R21" s="29" t="n">
        <f aca="false">Basis!$B$44*(R5+R6+R7+R8+R9+R10+R11+R12+R13+R14+R15+R16+R17+R18+R19+R20+R22)</f>
        <v>2331441</v>
      </c>
      <c r="S21" s="29" t="n">
        <f aca="false">Basis!$B$44*(S5+S6+S7+S8+S9+S10+S11+S12+S13+S14+S15+S16+S17+S18+S19+S20+S22)</f>
        <v>2331441</v>
      </c>
      <c r="T21" s="29" t="n">
        <f aca="false">Basis!$B$44*(T5+T6+T7+T8+T9+T10+T11+T12+T13+T14+T15+T16+T17+T18+T19+T20+T22)</f>
        <v>2331441</v>
      </c>
      <c r="U21" s="29" t="n">
        <f aca="false">Basis!$B$44*(U5+U6+U7+U8+U9+U10+U11+U12+U13+U14+U15+U16+U17+U18+U19+U20+U22)</f>
        <v>2331441</v>
      </c>
      <c r="V21" s="29" t="n">
        <f aca="false">Basis!$B$44*(V5+V6+V7+V8+V9+V10+V11+V12+V13+V14+V15+V16+V17+V18+V19+V20+V22)</f>
        <v>2331441</v>
      </c>
      <c r="W21" s="29" t="n">
        <f aca="false">Basis!$B$44*(W5+W6+W7+W8+W9+W10+W11+W12+W13+W14+W15+W16+W17+W18+W19+W20+W22)</f>
        <v>2331441</v>
      </c>
      <c r="X21" s="29" t="n">
        <f aca="false">Basis!$B$44*(X5+X6+X7+X8+X9+X10+X11+X12+X13+X14+X15+X16+X17+X18+X19+X20+X22)</f>
        <v>2331441</v>
      </c>
    </row>
    <row r="22" customFormat="false" ht="15" hidden="false" customHeight="false" outlineLevel="0" collapsed="false">
      <c r="A22" s="2" t="s">
        <v>57</v>
      </c>
      <c r="B22" s="29" t="n">
        <f aca="false">Basis!B22</f>
        <v>427329</v>
      </c>
      <c r="C22" s="29" t="n">
        <f aca="false">$B22*(C5+C6+C7+C8+C9)/($B5+$B6+$B7+$B8+$B9)</f>
        <v>37356.0759525832</v>
      </c>
      <c r="D22" s="29" t="n">
        <f aca="false">$B22*(D5+D6+D7+D8+D9)/($B5+$B6+$B7+$B8+$B9)</f>
        <v>37356.0759525832</v>
      </c>
      <c r="E22" s="29" t="n">
        <f aca="false">$B22*(E5+E6+E7+E8+E9)/($B5+$B6+$B7+$B8+$B9)</f>
        <v>105757.09571033</v>
      </c>
      <c r="F22" s="29" t="n">
        <f aca="false">$B22*(F5+F6+F7+F8+F9)/($B5+$B6+$B7+$B8+$B9)</f>
        <v>144035.071819493</v>
      </c>
      <c r="G22" s="29" t="n">
        <f aca="false">$B22*(G5+G6+G7+G8+G9)/($B5+$B6+$B7+$B8+$B9)</f>
        <v>194795.728120415</v>
      </c>
      <c r="H22" s="29" t="n">
        <f aca="false">$B22*(H5+H6+H7+H8+H9)/($B5+$B6+$B7+$B8+$B9)</f>
        <v>253094.409539524</v>
      </c>
      <c r="I22" s="29" t="n">
        <f aca="false">$B22*(I5+I6+I7+I8+I9)/($B5+$B6+$B7+$B8+$B9)</f>
        <v>273991.045368558</v>
      </c>
      <c r="J22" s="29" t="n">
        <f aca="false">$B22*(J5+J6+J7+J8+J9)/($B5+$B6+$B7+$B8+$B9)</f>
        <v>337763.328439518</v>
      </c>
      <c r="K22" s="29" t="n">
        <f aca="false">$B22*(K5+K6+K7+K8+K9)/($B5+$B6+$B7+$B8+$B9)</f>
        <v>355208.798807359</v>
      </c>
      <c r="L22" s="29" t="n">
        <f aca="false">$B22*(L5+L6+L7+L8+L9)/($B5+$B6+$B7+$B8+$B9)</f>
        <v>391667.055557219</v>
      </c>
      <c r="M22" s="29" t="n">
        <f aca="false">$B22*(M5+M6+M7+M8+M9)/($B5+$B6+$B7+$B8+$B9)</f>
        <v>398153.125211889</v>
      </c>
      <c r="N22" s="29" t="n">
        <f aca="false">$B22*(N5+N6+N7+N8+N9)/($B5+$B6+$B7+$B8+$B9)</f>
        <v>427123.299677752</v>
      </c>
      <c r="O22" s="29" t="n">
        <f aca="false">$B22*(O5+O6+O7+O8+O9)/($B5+$B6+$B7+$B8+$B9)</f>
        <v>427308.169587621</v>
      </c>
      <c r="P22" s="29" t="n">
        <f aca="false">$B22*(P5+P6+P7+P8+P9)/($B5+$B6+$B7+$B8+$B9)</f>
        <v>427315.980992263</v>
      </c>
      <c r="Q22" s="29" t="n">
        <f aca="false">$B22*(Q5+Q6+Q7+Q8+Q9)/($B5+$B6+$B7+$B8+$B9)</f>
        <v>427318.58479381</v>
      </c>
      <c r="R22" s="29" t="n">
        <f aca="false">$B22*(R5+R6+R7+R8+R9)/($B5+$B6+$B7+$B8+$B9)</f>
        <v>427329</v>
      </c>
      <c r="S22" s="29" t="n">
        <f aca="false">$B22*(S5+S6+S7+S8+S9)/($B5+$B6+$B7+$B8+$B9)</f>
        <v>427329</v>
      </c>
      <c r="T22" s="29" t="n">
        <f aca="false">$B22*(T5+T6+T7+T8+T9)/($B5+$B6+$B7+$B8+$B9)</f>
        <v>427329</v>
      </c>
      <c r="U22" s="29" t="n">
        <f aca="false">$B22*(U5+U6+U7+U8+U9)/($B5+$B6+$B7+$B8+$B9)</f>
        <v>427329</v>
      </c>
      <c r="V22" s="29" t="n">
        <f aca="false">$B22*(V5+V6+V7+V8+V9)/($B5+$B6+$B7+$B8+$B9)</f>
        <v>427329</v>
      </c>
      <c r="W22" s="29" t="n">
        <f aca="false">$B22*(W5+W6+W7+W8+W9)/($B5+$B6+$B7+$B8+$B9)</f>
        <v>427329</v>
      </c>
      <c r="X22" s="29" t="n">
        <f aca="false">$B22*(X5+X6+X7+X8+X9)/($B5+$B6+$B7+$B8+$B9)</f>
        <v>427329</v>
      </c>
    </row>
    <row r="23" customFormat="false" ht="15" hidden="false" customHeight="false" outlineLevel="0" collapsed="false">
      <c r="A23" s="18" t="s">
        <v>131</v>
      </c>
      <c r="B23" s="30" t="n">
        <f aca="false">SUM(B5:B22)</f>
        <v>51707185</v>
      </c>
      <c r="C23" s="30" t="n">
        <f aca="false">SUM(C5:C22)</f>
        <v>3481479.62810026</v>
      </c>
      <c r="D23" s="30" t="n">
        <f aca="false">SUM(D5:D22)</f>
        <v>3481479.62810026</v>
      </c>
      <c r="E23" s="30" t="n">
        <f aca="false">SUM(E5:E22)</f>
        <v>18469503.8143879</v>
      </c>
      <c r="F23" s="30" t="n">
        <f aca="false">SUM(F5:F22)</f>
        <v>25918447.3017849</v>
      </c>
      <c r="G23" s="30" t="n">
        <f aca="false">SUM(G5:G22)</f>
        <v>30202732.2301827</v>
      </c>
      <c r="H23" s="30" t="n">
        <f aca="false">SUM(H5:H22)</f>
        <v>35597433.3226865</v>
      </c>
      <c r="I23" s="30" t="n">
        <f aca="false">SUM(I5:I22)</f>
        <v>37773119.5286336</v>
      </c>
      <c r="J23" s="30" t="n">
        <f aca="false">SUM(J5:J22)</f>
        <v>43628831.5622636</v>
      </c>
      <c r="K23" s="30" t="n">
        <f aca="false">SUM(K5:K22)</f>
        <v>45517092.9510319</v>
      </c>
      <c r="L23" s="30" t="n">
        <f aca="false">SUM(L5:L22)</f>
        <v>48646312.8019822</v>
      </c>
      <c r="M23" s="30" t="n">
        <f aca="false">SUM(M5:M22)</f>
        <v>49203013.5256974</v>
      </c>
      <c r="N23" s="30" t="n">
        <f aca="false">SUM(N5:N22)</f>
        <v>51689529.6980436</v>
      </c>
      <c r="O23" s="30" t="n">
        <f aca="false">SUM(O5:O22)</f>
        <v>51705397.1213209</v>
      </c>
      <c r="P23" s="30" t="n">
        <f aca="false">SUM(P5:P22)</f>
        <v>51706067.5758255</v>
      </c>
      <c r="Q23" s="30" t="n">
        <f aca="false">SUM(Q5:Q22)</f>
        <v>51706291.0606604</v>
      </c>
      <c r="R23" s="30" t="n">
        <f aca="false">SUM(R5:R22)</f>
        <v>51707185</v>
      </c>
      <c r="S23" s="30" t="n">
        <f aca="false">SUM(S5:S22)</f>
        <v>51707185</v>
      </c>
      <c r="T23" s="30" t="n">
        <f aca="false">SUM(T5:T22)</f>
        <v>51707185</v>
      </c>
      <c r="U23" s="30" t="n">
        <f aca="false">SUM(U5:U22)</f>
        <v>51707185</v>
      </c>
      <c r="V23" s="30" t="n">
        <f aca="false">SUM(V5:V22)</f>
        <v>51707185</v>
      </c>
      <c r="W23" s="30" t="n">
        <f aca="false">SUM(W5:W22)</f>
        <v>51707185</v>
      </c>
      <c r="X23" s="30" t="n">
        <f aca="false">SUM(X5:X22)</f>
        <v>51707185</v>
      </c>
    </row>
    <row r="24" customFormat="false" ht="15" hidden="false" customHeight="false" outlineLevel="0" collapsed="false">
      <c r="A24" s="2" t="s">
        <v>132</v>
      </c>
      <c r="B24" s="26" t="n">
        <f aca="false">B23*Basis!$B$31</f>
        <v>16511661.6616532</v>
      </c>
      <c r="C24" s="29" t="n">
        <f aca="false">C23*Basis!$B$31</f>
        <v>1111741.31218185</v>
      </c>
      <c r="D24" s="29" t="n">
        <f aca="false">D23*Basis!$B$31</f>
        <v>1111741.31218185</v>
      </c>
      <c r="E24" s="29" t="n">
        <f aca="false">E23*Basis!$B$31</f>
        <v>5897868.89465721</v>
      </c>
      <c r="F24" s="29" t="n">
        <f aca="false">F23*Basis!$B$31</f>
        <v>8276540.92255186</v>
      </c>
      <c r="G24" s="29" t="n">
        <f aca="false">G23*Basis!$B$31</f>
        <v>9644642.14871268</v>
      </c>
      <c r="H24" s="29" t="n">
        <f aca="false">H23*Basis!$B$31</f>
        <v>11367332.7033266</v>
      </c>
      <c r="I24" s="29" t="n">
        <f aca="false">I23*Basis!$B$31</f>
        <v>12062094.8435306</v>
      </c>
      <c r="J24" s="29" t="n">
        <f aca="false">J23*Basis!$B$31</f>
        <v>13932000.0779263</v>
      </c>
      <c r="K24" s="29" t="n">
        <f aca="false">K23*Basis!$B$31</f>
        <v>14534978.8163764</v>
      </c>
      <c r="L24" s="29" t="n">
        <f aca="false">L23*Basis!$B$31</f>
        <v>15534232.9711679</v>
      </c>
      <c r="M24" s="29" t="n">
        <f aca="false">M23*Basis!$B$31</f>
        <v>15712004.2808376</v>
      </c>
      <c r="N24" s="29" t="n">
        <f aca="false">N23*Basis!$B$31</f>
        <v>16506023.7919366</v>
      </c>
      <c r="O24" s="29" t="n">
        <f aca="false">O23*Basis!$B$31</f>
        <v>16511090.7381376</v>
      </c>
      <c r="P24" s="29" t="n">
        <f aca="false">P23*Basis!$B$31</f>
        <v>16511304.8344559</v>
      </c>
      <c r="Q24" s="29" t="n">
        <f aca="false">Q23*Basis!$B$31</f>
        <v>16511376.1998954</v>
      </c>
      <c r="R24" s="29" t="n">
        <f aca="false">R23*Basis!$B$31</f>
        <v>16511661.6616532</v>
      </c>
      <c r="S24" s="29" t="n">
        <f aca="false">S23*Basis!$B$31</f>
        <v>16511661.6616532</v>
      </c>
      <c r="T24" s="29" t="n">
        <f aca="false">T23*Basis!$B$31</f>
        <v>16511661.6616532</v>
      </c>
      <c r="U24" s="29" t="n">
        <f aca="false">U23*Basis!$B$31</f>
        <v>16511661.6616532</v>
      </c>
      <c r="V24" s="29" t="n">
        <f aca="false">V23*Basis!$B$31</f>
        <v>16511661.6616532</v>
      </c>
      <c r="W24" s="29" t="n">
        <f aca="false">W23*Basis!$B$31</f>
        <v>16511661.6616532</v>
      </c>
      <c r="X24" s="29" t="n">
        <f aca="false">X23*Basis!$B$31</f>
        <v>16511661.6616532</v>
      </c>
    </row>
    <row r="25" customFormat="false" ht="15" hidden="false" customHeight="false" outlineLevel="0" collapsed="false">
      <c r="A25" s="18" t="s">
        <v>133</v>
      </c>
      <c r="B25" s="30" t="n">
        <f aca="false">B23+B24</f>
        <v>68218846.6616532</v>
      </c>
      <c r="C25" s="30" t="n">
        <f aca="false">C23+C24</f>
        <v>4593220.94028211</v>
      </c>
      <c r="D25" s="30" t="n">
        <f aca="false">D23+D24</f>
        <v>4593220.94028211</v>
      </c>
      <c r="E25" s="30" t="n">
        <f aca="false">E23+E24</f>
        <v>24367372.7090451</v>
      </c>
      <c r="F25" s="30" t="n">
        <f aca="false">F23+F24</f>
        <v>34194988.2243367</v>
      </c>
      <c r="G25" s="30" t="n">
        <f aca="false">G23+G24</f>
        <v>39847374.3788953</v>
      </c>
      <c r="H25" s="30" t="n">
        <f aca="false">H23+H24</f>
        <v>46964766.0260131</v>
      </c>
      <c r="I25" s="30" t="n">
        <f aca="false">I23+I24</f>
        <v>49835214.3721642</v>
      </c>
      <c r="J25" s="30" t="n">
        <f aca="false">J23+J24</f>
        <v>57560831.6401899</v>
      </c>
      <c r="K25" s="30" t="n">
        <f aca="false">K23+K24</f>
        <v>60052071.7674083</v>
      </c>
      <c r="L25" s="30" t="n">
        <f aca="false">L23+L24</f>
        <v>64180545.7731501</v>
      </c>
      <c r="M25" s="30" t="n">
        <f aca="false">M23+M24</f>
        <v>64915017.806535</v>
      </c>
      <c r="N25" s="30" t="n">
        <f aca="false">N23+N24</f>
        <v>68195553.4899802</v>
      </c>
      <c r="O25" s="30" t="n">
        <f aca="false">O23+O24</f>
        <v>68216487.8594585</v>
      </c>
      <c r="P25" s="30" t="n">
        <f aca="false">P23+P24</f>
        <v>68217372.4102815</v>
      </c>
      <c r="Q25" s="30" t="n">
        <f aca="false">Q23+Q24</f>
        <v>68217667.2605558</v>
      </c>
      <c r="R25" s="30" t="n">
        <f aca="false">R23+R24</f>
        <v>68218846.6616532</v>
      </c>
      <c r="S25" s="30" t="n">
        <f aca="false">S23+S24</f>
        <v>68218846.6616532</v>
      </c>
      <c r="T25" s="30" t="n">
        <f aca="false">T23+T24</f>
        <v>68218846.6616532</v>
      </c>
      <c r="U25" s="30" t="n">
        <f aca="false">U23+U24</f>
        <v>68218846.6616532</v>
      </c>
      <c r="V25" s="30" t="n">
        <f aca="false">V23+V24</f>
        <v>68218846.6616532</v>
      </c>
      <c r="W25" s="30" t="n">
        <f aca="false">W23+W24</f>
        <v>68218846.6616532</v>
      </c>
      <c r="X25" s="30" t="n">
        <f aca="false">X23+X24</f>
        <v>68218846.6616532</v>
      </c>
    </row>
    <row r="26" customFormat="false" ht="15" hidden="false" customHeight="false" outlineLevel="0" collapsed="false">
      <c r="A26" s="25" t="s">
        <v>134</v>
      </c>
      <c r="C26" s="31" t="n">
        <f aca="false">C25/$B25</f>
        <v>0.0673306742206187</v>
      </c>
      <c r="D26" s="31" t="n">
        <f aca="false">D25/$B25</f>
        <v>0.0673306742206187</v>
      </c>
      <c r="E26" s="31" t="n">
        <f aca="false">E25/$B25</f>
        <v>0.357194146507645</v>
      </c>
      <c r="F26" s="31" t="n">
        <f aca="false">F25/$B25</f>
        <v>0.501254270596724</v>
      </c>
      <c r="G26" s="31" t="n">
        <f aca="false">G25/$B25</f>
        <v>0.584110936036891</v>
      </c>
      <c r="H26" s="31" t="n">
        <f aca="false">H25/$B25</f>
        <v>0.688442685918534</v>
      </c>
      <c r="I26" s="31" t="n">
        <f aca="false">I25/$B25</f>
        <v>0.730519743603014</v>
      </c>
      <c r="J26" s="31" t="n">
        <f aca="false">J25/$B25</f>
        <v>0.843767293892785</v>
      </c>
      <c r="K26" s="31" t="n">
        <f aca="false">K25/$B25</f>
        <v>0.880285649876934</v>
      </c>
      <c r="L26" s="31" t="n">
        <f aca="false">L25/$B25</f>
        <v>0.940803735534669</v>
      </c>
      <c r="M26" s="31" t="n">
        <f aca="false">M25/$B25</f>
        <v>0.951570144955627</v>
      </c>
      <c r="N26" s="31" t="n">
        <f aca="false">N25/$B25</f>
        <v>0.999658552250399</v>
      </c>
      <c r="O26" s="31" t="n">
        <f aca="false">O25/$B25</f>
        <v>0.999965423012699</v>
      </c>
      <c r="P26" s="31" t="n">
        <f aca="false">P25/$B25</f>
        <v>0.999978389382937</v>
      </c>
      <c r="Q26" s="31" t="n">
        <f aca="false">Q25/$B25</f>
        <v>0.999982711506349</v>
      </c>
      <c r="R26" s="31" t="n">
        <f aca="false">R25/$B25</f>
        <v>1</v>
      </c>
      <c r="S26" s="31" t="n">
        <f aca="false">S25/$B25</f>
        <v>1</v>
      </c>
      <c r="T26" s="31" t="n">
        <f aca="false">T25/$B25</f>
        <v>1</v>
      </c>
      <c r="U26" s="31" t="n">
        <f aca="false">U25/$B25</f>
        <v>1</v>
      </c>
      <c r="V26" s="31" t="n">
        <f aca="false">V25/$B25</f>
        <v>1</v>
      </c>
      <c r="W26" s="31" t="n">
        <f aca="false">W25/$B25</f>
        <v>1</v>
      </c>
      <c r="X26" s="31" t="n">
        <f aca="false">X25/$B25</f>
        <v>1</v>
      </c>
    </row>
    <row r="27" customFormat="false" ht="15" hidden="false" customHeight="false" outlineLevel="0" collapsed="false">
      <c r="A27" s="18" t="s">
        <v>135</v>
      </c>
      <c r="B27" s="30" t="n">
        <f aca="false">(B18+B19+B15)*(1+Basis!$B$31)</f>
        <v>6676447.65057125</v>
      </c>
      <c r="C27" s="30" t="n">
        <f aca="false">(C18+C19+C15)*(1+Basis!$B$31)</f>
        <v>466567.980261909</v>
      </c>
      <c r="D27" s="30" t="n">
        <f aca="false">(D18+D19+D15)*(1+Basis!$B$31)</f>
        <v>466567.980261909</v>
      </c>
      <c r="E27" s="30" t="n">
        <f aca="false">(E18+E19+E15)*(1+Basis!$B$31)</f>
        <v>5786371.20052926</v>
      </c>
      <c r="F27" s="30" t="n">
        <f aca="false">(F18+F19+F15)*(1+Basis!$B$31)</f>
        <v>5880980.30670591</v>
      </c>
      <c r="G27" s="30" t="n">
        <f aca="false">(G18+G19+G15)*(1+Basis!$B$31)</f>
        <v>5952494.68123624</v>
      </c>
      <c r="H27" s="30" t="n">
        <f aca="false">(H18+H19+H15)*(1+Basis!$B$31)</f>
        <v>6139550.15927764</v>
      </c>
      <c r="I27" s="30" t="n">
        <f aca="false">(I18+I19+I15)*(1+Basis!$B$31)</f>
        <v>6195525.19541703</v>
      </c>
      <c r="J27" s="30" t="n">
        <f aca="false">(J18+J19+J15)*(1+Basis!$B$31)</f>
        <v>6389069.80424566</v>
      </c>
      <c r="K27" s="30" t="n">
        <f aca="false">(K18+K19+K15)*(1+Basis!$B$31)</f>
        <v>6445044.84038505</v>
      </c>
      <c r="L27" s="30" t="n">
        <f aca="false">(L18+L19+L15)*(1+Basis!$B$31)</f>
        <v>6562023.75789906</v>
      </c>
      <c r="M27" s="30" t="n">
        <f aca="false">(M18+M19+M15)*(1+Basis!$B$31)</f>
        <v>6582834.7750667</v>
      </c>
      <c r="N27" s="30" t="n">
        <f aca="false">(N18+N19+N15)*(1+Basis!$B$31)</f>
        <v>6675787.64641378</v>
      </c>
      <c r="O27" s="30" t="n">
        <f aca="false">(O18+O19+O15)*(1+Basis!$B$31)</f>
        <v>6676380.8147072</v>
      </c>
      <c r="P27" s="30" t="n">
        <f aca="false">(P18+P19+P15)*(1+Basis!$B$31)</f>
        <v>6676405.87815622</v>
      </c>
      <c r="Q27" s="30" t="n">
        <f aca="false">(Q18+Q19+Q15)*(1+Basis!$B$31)</f>
        <v>6676414.23263922</v>
      </c>
      <c r="R27" s="30" t="n">
        <f aca="false">(R18+R19+R15)*(1+Basis!$B$31)</f>
        <v>6676447.65057125</v>
      </c>
      <c r="S27" s="30" t="n">
        <f aca="false">(S18+S19+S15)*(1+Basis!$B$31)</f>
        <v>6676447.65057125</v>
      </c>
      <c r="T27" s="30" t="n">
        <f aca="false">(T18+T19+T15)*(1+Basis!$B$31)</f>
        <v>6676447.65057125</v>
      </c>
      <c r="U27" s="30" t="n">
        <f aca="false">(U18+U19+U15)*(1+Basis!$B$31)</f>
        <v>6676447.65057125</v>
      </c>
      <c r="V27" s="30" t="n">
        <f aca="false">(V18+V19+V15)*(1+Basis!$B$31)</f>
        <v>6676447.65057125</v>
      </c>
      <c r="W27" s="30" t="n">
        <f aca="false">(W18+W19+W15)*(1+Basis!$B$31)</f>
        <v>6676447.65057125</v>
      </c>
      <c r="X27" s="30" t="n">
        <f aca="false">(X18+X19+X15)*(1+Basis!$B$31)</f>
        <v>6676447.65057125</v>
      </c>
    </row>
    <row r="28" customFormat="false" ht="15" hidden="false" customHeight="false" outlineLevel="0" collapsed="false">
      <c r="A28" s="18" t="s">
        <v>136</v>
      </c>
      <c r="B28" s="30" t="n">
        <f aca="false">B25-B27</f>
        <v>61542399.0110819</v>
      </c>
      <c r="C28" s="30" t="n">
        <f aca="false">C25-C27</f>
        <v>4126652.9600202</v>
      </c>
      <c r="D28" s="30" t="n">
        <f aca="false">D25-D27</f>
        <v>4126652.9600202</v>
      </c>
      <c r="E28" s="30" t="n">
        <f aca="false">E25-E27</f>
        <v>18581001.5085159</v>
      </c>
      <c r="F28" s="30" t="n">
        <f aca="false">F25-F27</f>
        <v>28314007.9176308</v>
      </c>
      <c r="G28" s="30" t="n">
        <f aca="false">G25-G27</f>
        <v>33894879.6976591</v>
      </c>
      <c r="H28" s="30" t="n">
        <f aca="false">H25-H27</f>
        <v>40825215.8667355</v>
      </c>
      <c r="I28" s="30" t="n">
        <f aca="false">I25-I27</f>
        <v>43639689.1767472</v>
      </c>
      <c r="J28" s="30" t="n">
        <f aca="false">J25-J27</f>
        <v>51171761.8359443</v>
      </c>
      <c r="K28" s="30" t="n">
        <f aca="false">K25-K27</f>
        <v>53607026.9270232</v>
      </c>
      <c r="L28" s="30" t="n">
        <f aca="false">L25-L27</f>
        <v>57618522.0152511</v>
      </c>
      <c r="M28" s="30" t="n">
        <f aca="false">M25-M27</f>
        <v>58332183.0314683</v>
      </c>
      <c r="N28" s="30" t="n">
        <f aca="false">N25-N27</f>
        <v>61519765.8435664</v>
      </c>
      <c r="O28" s="30" t="n">
        <f aca="false">O25-O27</f>
        <v>61540107.0447513</v>
      </c>
      <c r="P28" s="30" t="n">
        <f aca="false">P25-P27</f>
        <v>61540966.5321253</v>
      </c>
      <c r="Q28" s="30" t="n">
        <f aca="false">Q25-Q27</f>
        <v>61541253.0279166</v>
      </c>
      <c r="R28" s="30" t="n">
        <f aca="false">R25-R27</f>
        <v>61542399.0110819</v>
      </c>
      <c r="S28" s="30" t="n">
        <f aca="false">S25-S27</f>
        <v>61542399.0110819</v>
      </c>
      <c r="T28" s="30" t="n">
        <f aca="false">T25-T27</f>
        <v>61542399.0110819</v>
      </c>
      <c r="U28" s="30" t="n">
        <f aca="false">U25-U27</f>
        <v>61542399.0110819</v>
      </c>
      <c r="V28" s="30" t="n">
        <f aca="false">V25-V27</f>
        <v>61542399.0110819</v>
      </c>
      <c r="W28" s="30" t="n">
        <f aca="false">W25-W27</f>
        <v>61542399.0110819</v>
      </c>
      <c r="X28" s="30" t="n">
        <f aca="false">X25-X27</f>
        <v>61542399.0110819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4" min="3" style="0" width="10.51"/>
  </cols>
  <sheetData>
    <row r="1" customFormat="false" ht="16.15" hidden="false" customHeight="false" outlineLevel="0" collapsed="false">
      <c r="A1" s="1" t="s">
        <v>137</v>
      </c>
    </row>
    <row r="2" customFormat="false" ht="15" hidden="false" customHeight="false" outlineLevel="0" collapsed="false">
      <c r="A2" s="2" t="s">
        <v>138</v>
      </c>
    </row>
    <row r="4" customFormat="false" ht="15" hidden="false" customHeight="false" outlineLevel="0" collapsed="false">
      <c r="A4" s="20" t="s">
        <v>139</v>
      </c>
      <c r="B4" s="32"/>
      <c r="C4" s="21" t="n">
        <v>2026</v>
      </c>
      <c r="D4" s="21" t="n">
        <v>2027</v>
      </c>
      <c r="E4" s="21" t="n">
        <v>2028</v>
      </c>
      <c r="F4" s="21" t="n">
        <v>2029</v>
      </c>
      <c r="G4" s="21" t="n">
        <v>2030</v>
      </c>
      <c r="H4" s="21" t="n">
        <v>2031</v>
      </c>
      <c r="I4" s="21" t="n">
        <v>2032</v>
      </c>
      <c r="J4" s="21" t="n">
        <v>2033</v>
      </c>
      <c r="K4" s="21" t="n">
        <v>2034</v>
      </c>
      <c r="L4" s="21" t="n">
        <v>2035</v>
      </c>
      <c r="M4" s="21" t="n">
        <v>2036</v>
      </c>
      <c r="N4" s="21" t="n">
        <v>2037</v>
      </c>
      <c r="O4" s="21" t="n">
        <v>2038</v>
      </c>
      <c r="P4" s="21" t="n">
        <v>2039</v>
      </c>
      <c r="Q4" s="21" t="n">
        <v>2040</v>
      </c>
      <c r="R4" s="21" t="n">
        <v>2041</v>
      </c>
      <c r="S4" s="21" t="n">
        <v>2042</v>
      </c>
      <c r="T4" s="21" t="n">
        <v>2043</v>
      </c>
      <c r="U4" s="21" t="n">
        <v>2044</v>
      </c>
      <c r="V4" s="21" t="n">
        <v>2045</v>
      </c>
      <c r="W4" s="21" t="n">
        <v>2046</v>
      </c>
      <c r="X4" s="21" t="n">
        <v>2047</v>
      </c>
    </row>
    <row r="5" customFormat="false" ht="15" hidden="false" customHeight="false" outlineLevel="0" collapsed="false">
      <c r="A5" s="2" t="s">
        <v>140</v>
      </c>
      <c r="C5" s="29" t="n">
        <f aca="false">Drivers!C14</f>
        <v>0</v>
      </c>
      <c r="D5" s="29" t="n">
        <f aca="false">Drivers!D14</f>
        <v>0</v>
      </c>
      <c r="E5" s="29" t="n">
        <f aca="false">Drivers!E14</f>
        <v>0</v>
      </c>
      <c r="F5" s="29" t="n">
        <f aca="false">Drivers!F14</f>
        <v>36</v>
      </c>
      <c r="G5" s="29" t="n">
        <f aca="false">Drivers!G14</f>
        <v>0</v>
      </c>
      <c r="H5" s="29" t="n">
        <f aca="false">Drivers!H14</f>
        <v>0</v>
      </c>
      <c r="I5" s="29" t="n">
        <f aca="false">Drivers!I14</f>
        <v>20</v>
      </c>
      <c r="J5" s="29" t="n">
        <f aca="false">Drivers!J14</f>
        <v>0</v>
      </c>
      <c r="K5" s="29" t="n">
        <f aca="false">Drivers!K14</f>
        <v>20</v>
      </c>
      <c r="L5" s="29" t="n">
        <f aca="false">Drivers!L14</f>
        <v>0</v>
      </c>
      <c r="M5" s="29" t="n">
        <f aca="false">Drivers!M14</f>
        <v>30</v>
      </c>
      <c r="N5" s="29" t="n">
        <f aca="false">Drivers!N14</f>
        <v>10</v>
      </c>
      <c r="O5" s="29" t="n">
        <f aca="false">Drivers!O14</f>
        <v>30</v>
      </c>
      <c r="P5" s="29" t="n">
        <f aca="false">Drivers!P14</f>
        <v>30</v>
      </c>
      <c r="Q5" s="29" t="n">
        <f aca="false">Drivers!Q14</f>
        <v>10</v>
      </c>
      <c r="R5" s="29" t="n">
        <f aca="false">Drivers!R14</f>
        <v>96</v>
      </c>
      <c r="S5" s="29" t="n">
        <f aca="false">Drivers!S14</f>
        <v>221</v>
      </c>
      <c r="T5" s="29" t="n">
        <f aca="false">Drivers!T14</f>
        <v>249</v>
      </c>
      <c r="U5" s="29" t="n">
        <f aca="false">Drivers!U14</f>
        <v>226</v>
      </c>
      <c r="V5" s="29" t="n">
        <f aca="false">Drivers!V14</f>
        <v>142</v>
      </c>
      <c r="W5" s="29" t="n">
        <f aca="false">Drivers!W14</f>
        <v>0</v>
      </c>
      <c r="X5" s="29" t="n">
        <f aca="false">Drivers!X14</f>
        <v>0</v>
      </c>
    </row>
    <row r="6" customFormat="false" ht="15" hidden="false" customHeight="false" outlineLevel="0" collapsed="false">
      <c r="A6" s="2" t="s">
        <v>141</v>
      </c>
      <c r="C6" s="29" t="n">
        <f aca="false">SUM($C$5:C5)</f>
        <v>0</v>
      </c>
      <c r="D6" s="29" t="n">
        <f aca="false">SUM($C$5:D5)</f>
        <v>0</v>
      </c>
      <c r="E6" s="29" t="n">
        <f aca="false">SUM($C$5:E5)</f>
        <v>0</v>
      </c>
      <c r="F6" s="29" t="n">
        <f aca="false">SUM($C$5:F5)</f>
        <v>36</v>
      </c>
      <c r="G6" s="29" t="n">
        <f aca="false">SUM($C$5:G5)</f>
        <v>36</v>
      </c>
      <c r="H6" s="29" t="n">
        <f aca="false">SUM($C$5:H5)</f>
        <v>36</v>
      </c>
      <c r="I6" s="29" t="n">
        <f aca="false">SUM($C$5:I5)</f>
        <v>56</v>
      </c>
      <c r="J6" s="29" t="n">
        <f aca="false">SUM($C$5:J5)</f>
        <v>56</v>
      </c>
      <c r="K6" s="29" t="n">
        <f aca="false">SUM($C$5:K5)</f>
        <v>76</v>
      </c>
      <c r="L6" s="29" t="n">
        <f aca="false">SUM($C$5:L5)</f>
        <v>76</v>
      </c>
      <c r="M6" s="29" t="n">
        <f aca="false">SUM($C$5:M5)</f>
        <v>106</v>
      </c>
      <c r="N6" s="29" t="n">
        <f aca="false">SUM($C$5:N5)</f>
        <v>116</v>
      </c>
      <c r="O6" s="29" t="n">
        <f aca="false">SUM($C$5:O5)</f>
        <v>146</v>
      </c>
      <c r="P6" s="29" t="n">
        <f aca="false">SUM($C$5:P5)</f>
        <v>176</v>
      </c>
      <c r="Q6" s="29" t="n">
        <f aca="false">SUM($C$5:Q5)</f>
        <v>186</v>
      </c>
      <c r="R6" s="29" t="n">
        <f aca="false">SUM($C$5:R5)</f>
        <v>282</v>
      </c>
      <c r="S6" s="29" t="n">
        <f aca="false">SUM($C$5:S5)</f>
        <v>503</v>
      </c>
      <c r="T6" s="29" t="n">
        <f aca="false">SUM($C$5:T5)</f>
        <v>752</v>
      </c>
      <c r="U6" s="29" t="n">
        <f aca="false">SUM($C$5:U5)</f>
        <v>978</v>
      </c>
      <c r="V6" s="29" t="n">
        <f aca="false">SUM($C$5:V5)</f>
        <v>1120</v>
      </c>
      <c r="W6" s="29" t="n">
        <f aca="false">SUM($C$5:W5)</f>
        <v>1120</v>
      </c>
      <c r="X6" s="29" t="n">
        <f aca="false">SUM($C$5:X5)</f>
        <v>1120</v>
      </c>
    </row>
    <row r="7" customFormat="false" ht="15" hidden="false" customHeight="false" outlineLevel="0" collapsed="false">
      <c r="A7" s="2" t="s">
        <v>142</v>
      </c>
      <c r="C7" s="29" t="n">
        <f aca="false">IF(C4-Basis!$B$43&lt;$C$4,0,SUM($C$5:INDEX($C$5:$X$5,1,C4-Basis!$B$43-$C$4+1)))</f>
        <v>0</v>
      </c>
      <c r="D7" s="29" t="n">
        <f aca="false">IF(D4-Basis!$B$43&lt;$C$4,0,SUM($C$5:INDEX($C$5:$X$5,1,D4-Basis!$B$43-$C$4+1)))</f>
        <v>0</v>
      </c>
      <c r="E7" s="29" t="n">
        <f aca="false">IF(E4-Basis!$B$43&lt;$C$4,0,SUM($C$5:INDEX($C$5:$X$5,1,E4-Basis!$B$43-$C$4+1)))</f>
        <v>0</v>
      </c>
      <c r="F7" s="29" t="n">
        <f aca="false">IF(F4-Basis!$B$43&lt;$C$4,0,SUM($C$5:INDEX($C$5:$X$5,1,F4-Basis!$B$43-$C$4+1)))</f>
        <v>0</v>
      </c>
      <c r="G7" s="29" t="n">
        <f aca="false">IF(G4-Basis!$B$43&lt;$C$4,0,SUM($C$5:INDEX($C$5:$X$5,1,G4-Basis!$B$43-$C$4+1)))</f>
        <v>0</v>
      </c>
      <c r="H7" s="29" t="n">
        <f aca="false">IF(H4-Basis!$B$43&lt;$C$4,0,SUM($C$5:INDEX($C$5:$X$5,1,H4-Basis!$B$43-$C$4+1)))</f>
        <v>0</v>
      </c>
      <c r="I7" s="29" t="n">
        <f aca="false">IF(I4-Basis!$B$43&lt;$C$4,0,SUM($C$5:INDEX($C$5:$X$5,1,I4-Basis!$B$43-$C$4+1)))</f>
        <v>36</v>
      </c>
      <c r="J7" s="29" t="n">
        <f aca="false">IF(J4-Basis!$B$43&lt;$C$4,0,SUM($C$5:INDEX($C$5:$X$5,1,J4-Basis!$B$43-$C$4+1)))</f>
        <v>36</v>
      </c>
      <c r="K7" s="29" t="n">
        <f aca="false">IF(K4-Basis!$B$43&lt;$C$4,0,SUM($C$5:INDEX($C$5:$X$5,1,K4-Basis!$B$43-$C$4+1)))</f>
        <v>36</v>
      </c>
      <c r="L7" s="29" t="n">
        <f aca="false">IF(L4-Basis!$B$43&lt;$C$4,0,SUM($C$5:INDEX($C$5:$X$5,1,L4-Basis!$B$43-$C$4+1)))</f>
        <v>56</v>
      </c>
      <c r="M7" s="29" t="n">
        <f aca="false">IF(M4-Basis!$B$43&lt;$C$4,0,SUM($C$5:INDEX($C$5:$X$5,1,M4-Basis!$B$43-$C$4+1)))</f>
        <v>56</v>
      </c>
      <c r="N7" s="29" t="n">
        <f aca="false">IF(N4-Basis!$B$43&lt;$C$4,0,SUM($C$5:INDEX($C$5:$X$5,1,N4-Basis!$B$43-$C$4+1)))</f>
        <v>76</v>
      </c>
      <c r="O7" s="29" t="n">
        <f aca="false">IF(O4-Basis!$B$43&lt;$C$4,0,SUM($C$5:INDEX($C$5:$X$5,1,O4-Basis!$B$43-$C$4+1)))</f>
        <v>76</v>
      </c>
      <c r="P7" s="29" t="n">
        <f aca="false">IF(P4-Basis!$B$43&lt;$C$4,0,SUM($C$5:INDEX($C$5:$X$5,1,P4-Basis!$B$43-$C$4+1)))</f>
        <v>106</v>
      </c>
      <c r="Q7" s="29" t="n">
        <f aca="false">IF(Q4-Basis!$B$43&lt;$C$4,0,SUM($C$5:INDEX($C$5:$X$5,1,Q4-Basis!$B$43-$C$4+1)))</f>
        <v>116</v>
      </c>
      <c r="R7" s="29" t="n">
        <f aca="false">IF(R4-Basis!$B$43&lt;$C$4,0,SUM($C$5:INDEX($C$5:$X$5,1,R4-Basis!$B$43-$C$4+1)))</f>
        <v>146</v>
      </c>
      <c r="S7" s="29" t="n">
        <f aca="false">IF(S4-Basis!$B$43&lt;$C$4,0,SUM($C$5:INDEX($C$5:$X$5,1,S4-Basis!$B$43-$C$4+1)))</f>
        <v>176</v>
      </c>
      <c r="T7" s="29" t="n">
        <f aca="false">IF(T4-Basis!$B$43&lt;$C$4,0,SUM($C$5:INDEX($C$5:$X$5,1,T4-Basis!$B$43-$C$4+1)))</f>
        <v>186</v>
      </c>
      <c r="U7" s="29" t="n">
        <f aca="false">IF(U4-Basis!$B$43&lt;$C$4,0,SUM($C$5:INDEX($C$5:$X$5,1,U4-Basis!$B$43-$C$4+1)))</f>
        <v>282</v>
      </c>
      <c r="V7" s="29" t="n">
        <f aca="false">IF(V4-Basis!$B$43&lt;$C$4,0,SUM($C$5:INDEX($C$5:$X$5,1,V4-Basis!$B$43-$C$4+1)))</f>
        <v>503</v>
      </c>
      <c r="W7" s="29" t="n">
        <f aca="false">IF(W4-Basis!$B$43&lt;$C$4,0,SUM($C$5:INDEX($C$5:$X$5,1,W4-Basis!$B$43-$C$4+1)))</f>
        <v>752</v>
      </c>
      <c r="X7" s="29" t="n">
        <f aca="false">IF(X4-Basis!$B$43&lt;$C$4,0,SUM($C$5:INDEX($C$5:$X$5,1,X4-Basis!$B$43-$C$4+1)))</f>
        <v>978</v>
      </c>
    </row>
    <row r="8" customFormat="false" ht="15" hidden="false" customHeight="false" outlineLevel="0" collapsed="false">
      <c r="A8" s="2" t="s">
        <v>143</v>
      </c>
      <c r="C8" s="29" t="n">
        <f aca="false">C6-C7</f>
        <v>0</v>
      </c>
      <c r="D8" s="29" t="n">
        <f aca="false">D6-D7</f>
        <v>0</v>
      </c>
      <c r="E8" s="29" t="n">
        <f aca="false">E6-E7</f>
        <v>0</v>
      </c>
      <c r="F8" s="29" t="n">
        <f aca="false">F6-F7</f>
        <v>36</v>
      </c>
      <c r="G8" s="29" t="n">
        <f aca="false">G6-G7</f>
        <v>36</v>
      </c>
      <c r="H8" s="29" t="n">
        <f aca="false">H6-H7</f>
        <v>36</v>
      </c>
      <c r="I8" s="29" t="n">
        <f aca="false">I6-I7</f>
        <v>20</v>
      </c>
      <c r="J8" s="29" t="n">
        <f aca="false">J6-J7</f>
        <v>20</v>
      </c>
      <c r="K8" s="29" t="n">
        <f aca="false">K6-K7</f>
        <v>40</v>
      </c>
      <c r="L8" s="29" t="n">
        <f aca="false">L6-L7</f>
        <v>20</v>
      </c>
      <c r="M8" s="29" t="n">
        <f aca="false">M6-M7</f>
        <v>50</v>
      </c>
      <c r="N8" s="29" t="n">
        <f aca="false">N6-N7</f>
        <v>40</v>
      </c>
      <c r="O8" s="29" t="n">
        <f aca="false">O6-O7</f>
        <v>70</v>
      </c>
      <c r="P8" s="29" t="n">
        <f aca="false">P6-P7</f>
        <v>70</v>
      </c>
      <c r="Q8" s="29" t="n">
        <f aca="false">Q6-Q7</f>
        <v>70</v>
      </c>
      <c r="R8" s="29" t="n">
        <f aca="false">R6-R7</f>
        <v>136</v>
      </c>
      <c r="S8" s="29" t="n">
        <f aca="false">S6-S7</f>
        <v>327</v>
      </c>
      <c r="T8" s="29" t="n">
        <f aca="false">T6-T7</f>
        <v>566</v>
      </c>
      <c r="U8" s="29" t="n">
        <f aca="false">U6-U7</f>
        <v>696</v>
      </c>
      <c r="V8" s="29" t="n">
        <f aca="false">V6-V7</f>
        <v>617</v>
      </c>
      <c r="W8" s="29" t="n">
        <f aca="false">W6-W7</f>
        <v>368</v>
      </c>
      <c r="X8" s="29" t="n">
        <f aca="false">X6-X7</f>
        <v>142</v>
      </c>
    </row>
    <row r="9" customFormat="false" ht="15" hidden="false" customHeight="false" outlineLevel="0" collapsed="false">
      <c r="A9" s="2" t="s">
        <v>144</v>
      </c>
      <c r="C9" s="29" t="n">
        <f aca="false">C7*Basis!$B$39+C8*Basis!$B$38</f>
        <v>0</v>
      </c>
      <c r="D9" s="29" t="n">
        <f aca="false">D7*Basis!$B$39+D8*Basis!$B$38</f>
        <v>0</v>
      </c>
      <c r="E9" s="29" t="n">
        <f aca="false">E7*Basis!$B$39+E8*Basis!$B$38</f>
        <v>0</v>
      </c>
      <c r="F9" s="29" t="n">
        <f aca="false">F7*Basis!$B$39+F8*Basis!$B$38</f>
        <v>10.8</v>
      </c>
      <c r="G9" s="29" t="n">
        <f aca="false">G7*Basis!$B$39+G8*Basis!$B$38</f>
        <v>10.8</v>
      </c>
      <c r="H9" s="29" t="n">
        <f aca="false">H7*Basis!$B$39+H8*Basis!$B$38</f>
        <v>10.8</v>
      </c>
      <c r="I9" s="29" t="n">
        <f aca="false">I7*Basis!$B$39+I8*Basis!$B$38</f>
        <v>42</v>
      </c>
      <c r="J9" s="29" t="n">
        <f aca="false">J7*Basis!$B$39+J8*Basis!$B$38</f>
        <v>42</v>
      </c>
      <c r="K9" s="29" t="n">
        <f aca="false">K7*Basis!$B$39+K8*Basis!$B$38</f>
        <v>48</v>
      </c>
      <c r="L9" s="29" t="n">
        <f aca="false">L7*Basis!$B$39+L8*Basis!$B$38</f>
        <v>62</v>
      </c>
      <c r="M9" s="29" t="n">
        <f aca="false">M7*Basis!$B$39+M8*Basis!$B$38</f>
        <v>71</v>
      </c>
      <c r="N9" s="29" t="n">
        <f aca="false">N7*Basis!$B$39+N8*Basis!$B$38</f>
        <v>88</v>
      </c>
      <c r="O9" s="29" t="n">
        <f aca="false">O7*Basis!$B$39+O8*Basis!$B$38</f>
        <v>97</v>
      </c>
      <c r="P9" s="29" t="n">
        <f aca="false">P7*Basis!$B$39+P8*Basis!$B$38</f>
        <v>127</v>
      </c>
      <c r="Q9" s="29" t="n">
        <f aca="false">Q7*Basis!$B$39+Q8*Basis!$B$38</f>
        <v>137</v>
      </c>
      <c r="R9" s="29" t="n">
        <f aca="false">R7*Basis!$B$39+R8*Basis!$B$38</f>
        <v>186.8</v>
      </c>
      <c r="S9" s="29" t="n">
        <f aca="false">S7*Basis!$B$39+S8*Basis!$B$38</f>
        <v>274.1</v>
      </c>
      <c r="T9" s="29" t="n">
        <f aca="false">T7*Basis!$B$39+T8*Basis!$B$38</f>
        <v>355.8</v>
      </c>
      <c r="U9" s="29" t="n">
        <f aca="false">U7*Basis!$B$39+U8*Basis!$B$38</f>
        <v>490.8</v>
      </c>
      <c r="V9" s="29" t="n">
        <f aca="false">V7*Basis!$B$39+V8*Basis!$B$38</f>
        <v>688.1</v>
      </c>
      <c r="W9" s="29" t="n">
        <f aca="false">W7*Basis!$B$39+W8*Basis!$B$38</f>
        <v>862.4</v>
      </c>
      <c r="X9" s="29" t="n">
        <f aca="false">X7*Basis!$B$39+X8*Basis!$B$38</f>
        <v>1020.6</v>
      </c>
    </row>
    <row r="10" customFormat="false" ht="15" hidden="false" customHeight="false" outlineLevel="0" collapsed="false">
      <c r="A10" s="18" t="s">
        <v>145</v>
      </c>
      <c r="C10" s="27" t="n">
        <f aca="false">C9/Basis!$B$42</f>
        <v>0</v>
      </c>
      <c r="D10" s="27" t="n">
        <f aca="false">D9/Basis!$B$42</f>
        <v>0</v>
      </c>
      <c r="E10" s="27" t="n">
        <f aca="false">E9/Basis!$B$42</f>
        <v>0</v>
      </c>
      <c r="F10" s="27" t="n">
        <f aca="false">F9/Basis!$B$42</f>
        <v>0.00966875559534467</v>
      </c>
      <c r="G10" s="27" t="n">
        <f aca="false">G9/Basis!$B$42</f>
        <v>0.00966875559534467</v>
      </c>
      <c r="H10" s="27" t="n">
        <f aca="false">H9/Basis!$B$42</f>
        <v>0.00966875559534467</v>
      </c>
      <c r="I10" s="27" t="n">
        <f aca="false">I9/Basis!$B$42</f>
        <v>0.0376007162041182</v>
      </c>
      <c r="J10" s="27" t="n">
        <f aca="false">J9/Basis!$B$42</f>
        <v>0.0376007162041182</v>
      </c>
      <c r="K10" s="27" t="n">
        <f aca="false">K9/Basis!$B$42</f>
        <v>0.0429722470904208</v>
      </c>
      <c r="L10" s="27" t="n">
        <f aca="false">L9/Basis!$B$42</f>
        <v>0.0555058191584602</v>
      </c>
      <c r="M10" s="27" t="n">
        <f aca="false">M9/Basis!$B$42</f>
        <v>0.0635631154879141</v>
      </c>
      <c r="N10" s="27" t="n">
        <f aca="false">N9/Basis!$B$42</f>
        <v>0.0787824529991048</v>
      </c>
      <c r="O10" s="27" t="n">
        <f aca="false">O9/Basis!$B$42</f>
        <v>0.0868397493285586</v>
      </c>
      <c r="P10" s="27" t="n">
        <f aca="false">P9/Basis!$B$42</f>
        <v>0.113697403760072</v>
      </c>
      <c r="Q10" s="27" t="n">
        <f aca="false">Q9/Basis!$B$42</f>
        <v>0.122649955237243</v>
      </c>
      <c r="R10" s="27" t="n">
        <f aca="false">R9/Basis!$B$42</f>
        <v>0.167233661593554</v>
      </c>
      <c r="S10" s="27" t="n">
        <f aca="false">S9/Basis!$B$42</f>
        <v>0.245389435989257</v>
      </c>
      <c r="T10" s="27" t="n">
        <f aca="false">T9/Basis!$B$42</f>
        <v>0.318531781557744</v>
      </c>
      <c r="U10" s="27" t="n">
        <f aca="false">U9/Basis!$B$42</f>
        <v>0.439391226499552</v>
      </c>
      <c r="V10" s="27" t="n">
        <f aca="false">V9/Basis!$B$42</f>
        <v>0.616025067144136</v>
      </c>
      <c r="W10" s="27" t="n">
        <f aca="false">W9/Basis!$B$42</f>
        <v>0.772068039391227</v>
      </c>
      <c r="X10" s="27" t="n">
        <f aca="false">X9/Basis!$B$42</f>
        <v>0.913697403760072</v>
      </c>
    </row>
    <row r="11" customFormat="false" ht="15" hidden="false" customHeight="false" outlineLevel="0" collapsed="false">
      <c r="A11" s="25" t="s">
        <v>146</v>
      </c>
      <c r="C11" s="33" t="n">
        <v>0</v>
      </c>
      <c r="D11" s="33" t="n">
        <v>0</v>
      </c>
      <c r="E11" s="33" t="n">
        <v>0</v>
      </c>
      <c r="F11" s="33" t="n">
        <v>0</v>
      </c>
      <c r="G11" s="33" t="n">
        <v>0</v>
      </c>
      <c r="H11" s="33" t="n">
        <v>0</v>
      </c>
      <c r="I11" s="33" t="n">
        <v>0</v>
      </c>
      <c r="J11" s="33" t="n">
        <v>0</v>
      </c>
      <c r="K11" s="33" t="n">
        <v>0</v>
      </c>
      <c r="L11" s="33" t="n">
        <v>0</v>
      </c>
      <c r="M11" s="33" t="n">
        <v>0</v>
      </c>
      <c r="N11" s="33" t="n">
        <v>0</v>
      </c>
      <c r="O11" s="33" t="n">
        <v>0</v>
      </c>
      <c r="P11" s="33" t="n">
        <v>0</v>
      </c>
      <c r="Q11" s="33" t="n">
        <v>0</v>
      </c>
      <c r="R11" s="33" t="n">
        <v>0</v>
      </c>
      <c r="S11" s="33" t="n">
        <v>0</v>
      </c>
      <c r="T11" s="33" t="n">
        <v>0</v>
      </c>
      <c r="U11" s="33" t="n">
        <v>0</v>
      </c>
      <c r="V11" s="33" t="n">
        <v>0</v>
      </c>
      <c r="W11" s="33" t="n">
        <v>0</v>
      </c>
      <c r="X11" s="33" t="n">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1"/>
    <col collapsed="false" customWidth="true" hidden="false" outlineLevel="0" max="3" min="3" style="0" width="12"/>
    <col collapsed="false" customWidth="true" hidden="false" outlineLevel="0" max="4" min="4" style="0" width="16"/>
    <col collapsed="false" customWidth="true" hidden="false" outlineLevel="0" max="5" min="5" style="0" width="18"/>
    <col collapsed="false" customWidth="true" hidden="false" outlineLevel="0" max="6" min="6" style="0" width="16"/>
    <col collapsed="false" customWidth="true" hidden="false" outlineLevel="0" max="7" min="7" style="0" width="12"/>
    <col collapsed="false" customWidth="true" hidden="false" outlineLevel="0" max="8" min="8" style="0" width="16"/>
    <col collapsed="false" customWidth="true" hidden="false" outlineLevel="0" max="9" min="9" style="0" width="14"/>
    <col collapsed="false" customWidth="true" hidden="false" outlineLevel="0" max="11" min="10" style="0" width="16"/>
    <col collapsed="false" customWidth="true" hidden="false" outlineLevel="0" max="12" min="12" style="0" width="11"/>
    <col collapsed="false" customWidth="true" hidden="false" outlineLevel="0" max="13" min="13" style="0" width="80"/>
  </cols>
  <sheetData>
    <row r="1" customFormat="false" ht="16.15" hidden="false" customHeight="false" outlineLevel="0" collapsed="false">
      <c r="A1" s="1" t="s">
        <v>147</v>
      </c>
    </row>
    <row r="2" customFormat="false" ht="15" hidden="false" customHeight="false" outlineLevel="0" collapsed="false">
      <c r="A2" s="2" t="s">
        <v>148</v>
      </c>
    </row>
    <row r="4" customFormat="false" ht="35.05" hidden="false" customHeight="false" outlineLevel="0" collapsed="false">
      <c r="A4" s="3" t="s">
        <v>149</v>
      </c>
      <c r="B4" s="3" t="s">
        <v>150</v>
      </c>
      <c r="C4" s="3" t="s">
        <v>151</v>
      </c>
      <c r="D4" s="3" t="s">
        <v>152</v>
      </c>
      <c r="E4" s="3" t="s">
        <v>153</v>
      </c>
      <c r="F4" s="3" t="s">
        <v>154</v>
      </c>
      <c r="G4" s="3" t="s">
        <v>155</v>
      </c>
      <c r="H4" s="3" t="s">
        <v>156</v>
      </c>
      <c r="I4" s="3" t="s">
        <v>157</v>
      </c>
      <c r="J4" s="3" t="s">
        <v>158</v>
      </c>
      <c r="K4" s="3" t="s">
        <v>159</v>
      </c>
      <c r="L4" s="3" t="s">
        <v>160</v>
      </c>
      <c r="M4" s="3" t="s">
        <v>161</v>
      </c>
    </row>
    <row r="5" customFormat="false" ht="22.35" hidden="false" customHeight="false" outlineLevel="0" collapsed="false">
      <c r="A5" s="4" t="s">
        <v>162</v>
      </c>
      <c r="B5" s="4" t="s">
        <v>163</v>
      </c>
      <c r="C5" s="4" t="s">
        <v>164</v>
      </c>
      <c r="D5" s="13" t="n">
        <f aca="false">Basis!B47</f>
        <v>4582595</v>
      </c>
      <c r="E5" s="13" t="n">
        <f aca="false">Basis!B49</f>
        <v>5728244</v>
      </c>
      <c r="F5" s="13" t="n">
        <v>0</v>
      </c>
      <c r="G5" s="34" t="n">
        <v>0</v>
      </c>
      <c r="H5" s="13" t="n">
        <f aca="false">E5</f>
        <v>5728244</v>
      </c>
      <c r="I5" s="13" t="n">
        <v>0</v>
      </c>
      <c r="J5" s="17" t="n">
        <f aca="false">Basis!B50</f>
        <v>5700000</v>
      </c>
      <c r="K5" s="17" t="n">
        <f aca="false">J5</f>
        <v>5700000</v>
      </c>
      <c r="L5" s="35" t="n">
        <f aca="false">ROUND(K5/1000000,1)</f>
        <v>5.7</v>
      </c>
      <c r="M5" s="6" t="s">
        <v>165</v>
      </c>
    </row>
    <row r="6" customFormat="false" ht="22.35" hidden="false" customHeight="false" outlineLevel="0" collapsed="false">
      <c r="A6" s="4" t="s">
        <v>166</v>
      </c>
      <c r="B6" s="4" t="s">
        <v>167</v>
      </c>
      <c r="C6" s="4" t="n">
        <v>2028</v>
      </c>
      <c r="D6" s="13" t="n">
        <f aca="false">Liability!E23</f>
        <v>18469503.8143879</v>
      </c>
      <c r="E6" s="13" t="n">
        <f aca="false">Liability!E25</f>
        <v>24367372.7090451</v>
      </c>
      <c r="F6" s="13" t="n">
        <f aca="false">Liability!E27</f>
        <v>5786371.20052926</v>
      </c>
      <c r="G6" s="34" t="n">
        <f aca="false">Credit!E10</f>
        <v>0</v>
      </c>
      <c r="H6" s="13" t="n">
        <f aca="false">(E6-F6)*(1-G6)+F6</f>
        <v>24367372.7090451</v>
      </c>
      <c r="I6" s="13" t="n">
        <f aca="false">MAX(H6*Basis!$B$36,Basis!$B$37)</f>
        <v>5000000</v>
      </c>
      <c r="J6" s="17" t="n">
        <f aca="false">H6+I6</f>
        <v>29367372.7090451</v>
      </c>
      <c r="K6" s="17" t="n">
        <f aca="false">J6</f>
        <v>29367372.7090451</v>
      </c>
      <c r="L6" s="36" t="n">
        <f aca="false">ROUND(K6/1000000,0)</f>
        <v>29</v>
      </c>
      <c r="M6" s="6" t="s">
        <v>168</v>
      </c>
    </row>
    <row r="7" customFormat="false" ht="15" hidden="false" customHeight="false" outlineLevel="0" collapsed="false">
      <c r="A7" s="4" t="s">
        <v>169</v>
      </c>
      <c r="B7" s="4" t="s">
        <v>170</v>
      </c>
      <c r="C7" s="4" t="n">
        <v>2029</v>
      </c>
      <c r="D7" s="13" t="n">
        <f aca="false">Liability!F23</f>
        <v>25918447.3017849</v>
      </c>
      <c r="E7" s="13" t="n">
        <f aca="false">Liability!F25</f>
        <v>34194988.2243367</v>
      </c>
      <c r="F7" s="13" t="n">
        <f aca="false">Liability!F27</f>
        <v>5880980.30670591</v>
      </c>
      <c r="G7" s="34" t="n">
        <f aca="false">Credit!F10</f>
        <v>0.00966875559534467</v>
      </c>
      <c r="H7" s="13" t="n">
        <f aca="false">(E7-F7)*(1-G7)+F7</f>
        <v>33921227.0018565</v>
      </c>
      <c r="I7" s="13" t="n">
        <f aca="false">MAX(H7*Basis!$B$36,Basis!$B$37)</f>
        <v>5088184.05027848</v>
      </c>
      <c r="J7" s="17" t="n">
        <f aca="false">H7+I7</f>
        <v>39009411.052135</v>
      </c>
      <c r="K7" s="17" t="n">
        <f aca="false">J7</f>
        <v>39009411.052135</v>
      </c>
      <c r="L7" s="36" t="n">
        <f aca="false">ROUND(K7/1000000,0)</f>
        <v>39</v>
      </c>
      <c r="M7" s="6" t="s">
        <v>171</v>
      </c>
    </row>
    <row r="8" customFormat="false" ht="22.35" hidden="false" customHeight="false" outlineLevel="0" collapsed="false">
      <c r="A8" s="4" t="s">
        <v>172</v>
      </c>
      <c r="B8" s="4" t="s">
        <v>173</v>
      </c>
      <c r="C8" s="4" t="n">
        <v>2029</v>
      </c>
      <c r="D8" s="13" t="n">
        <f aca="false">Liability!F23</f>
        <v>25918447.3017849</v>
      </c>
      <c r="E8" s="13" t="n">
        <f aca="false">Liability!F25</f>
        <v>34194988.2243367</v>
      </c>
      <c r="F8" s="13" t="n">
        <f aca="false">Liability!F27</f>
        <v>5880980.30670591</v>
      </c>
      <c r="G8" s="34" t="n">
        <f aca="false">Credit!F10</f>
        <v>0.00966875559534467</v>
      </c>
      <c r="H8" s="13" t="n">
        <f aca="false">(E8-F8)*(1-G8)+F8</f>
        <v>33921227.0018565</v>
      </c>
      <c r="I8" s="13" t="n">
        <f aca="false">MAX(H8*Basis!$B$36,Basis!$B$37)</f>
        <v>5088184.05027848</v>
      </c>
      <c r="J8" s="17" t="n">
        <f aca="false">H8+I8</f>
        <v>39009411.052135</v>
      </c>
      <c r="K8" s="17" t="n">
        <f aca="false">MAX(J8,J9)</f>
        <v>55423480.4248224</v>
      </c>
      <c r="L8" s="36" t="n">
        <f aca="false">ROUND(K8/1000000,0)</f>
        <v>55</v>
      </c>
      <c r="M8" s="6" t="s">
        <v>174</v>
      </c>
    </row>
    <row r="9" customFormat="false" ht="15" hidden="false" customHeight="false" outlineLevel="0" collapsed="false">
      <c r="A9" s="4" t="s">
        <v>175</v>
      </c>
      <c r="B9" s="4" t="s">
        <v>176</v>
      </c>
      <c r="C9" s="4" t="n">
        <v>2032</v>
      </c>
      <c r="D9" s="13" t="n">
        <f aca="false">Liability!I23</f>
        <v>37773119.5286336</v>
      </c>
      <c r="E9" s="13" t="n">
        <f aca="false">Liability!I25</f>
        <v>49835214.3721642</v>
      </c>
      <c r="F9" s="13" t="n">
        <f aca="false">Liability!I27</f>
        <v>6195525.19541703</v>
      </c>
      <c r="G9" s="34" t="n">
        <f aca="false">Credit!I10</f>
        <v>0.0376007162041182</v>
      </c>
      <c r="H9" s="13" t="n">
        <f aca="false">(E9-F9)*(1-G9)+F9</f>
        <v>48194330.8041934</v>
      </c>
      <c r="I9" s="13" t="n">
        <f aca="false">MAX(H9*Basis!$B$36,Basis!$B$37)</f>
        <v>7229149.62062901</v>
      </c>
      <c r="J9" s="17" t="n">
        <f aca="false">H9+I9</f>
        <v>55423480.4248224</v>
      </c>
      <c r="K9" s="17" t="n">
        <f aca="false">MAX(J9,J10)</f>
        <v>70129739.8864929</v>
      </c>
      <c r="L9" s="36" t="n">
        <f aca="false">ROUND(K9/1000000,0)</f>
        <v>70</v>
      </c>
      <c r="M9" s="6" t="s">
        <v>177</v>
      </c>
    </row>
    <row r="10" customFormat="false" ht="15" hidden="false" customHeight="false" outlineLevel="0" collapsed="false">
      <c r="A10" s="4" t="s">
        <v>178</v>
      </c>
      <c r="B10" s="4" t="s">
        <v>179</v>
      </c>
      <c r="C10" s="4" t="n">
        <v>2035</v>
      </c>
      <c r="D10" s="13" t="n">
        <f aca="false">Liability!L23</f>
        <v>48646312.8019822</v>
      </c>
      <c r="E10" s="13" t="n">
        <f aca="false">Liability!L25</f>
        <v>64180545.7731501</v>
      </c>
      <c r="F10" s="13" t="n">
        <f aca="false">Liability!L27</f>
        <v>6562023.75789906</v>
      </c>
      <c r="G10" s="34" t="n">
        <f aca="false">Credit!L10</f>
        <v>0.0555058191584602</v>
      </c>
      <c r="H10" s="13" t="n">
        <f aca="false">(E10-F10)*(1-G10)+F10</f>
        <v>60982382.5099938</v>
      </c>
      <c r="I10" s="13" t="n">
        <f aca="false">MAX(H10*Basis!$B$36,Basis!$B$37)</f>
        <v>9147357.37649907</v>
      </c>
      <c r="J10" s="17" t="n">
        <f aca="false">H10+I10</f>
        <v>70129739.8864929</v>
      </c>
      <c r="K10" s="17" t="n">
        <f aca="false">MAX(J10,J11)</f>
        <v>72303214.4485455</v>
      </c>
      <c r="L10" s="36" t="n">
        <f aca="false">ROUND(K10/1000000,0)</f>
        <v>72</v>
      </c>
      <c r="M10" s="6" t="s">
        <v>180</v>
      </c>
    </row>
    <row r="11" customFormat="false" ht="15" hidden="false" customHeight="false" outlineLevel="0" collapsed="false">
      <c r="A11" s="4" t="s">
        <v>181</v>
      </c>
      <c r="B11" s="4" t="s">
        <v>182</v>
      </c>
      <c r="C11" s="4" t="n">
        <v>2038</v>
      </c>
      <c r="D11" s="13" t="n">
        <f aca="false">Liability!O23</f>
        <v>51705397.1213209</v>
      </c>
      <c r="E11" s="13" t="n">
        <f aca="false">Liability!O25</f>
        <v>68216487.8594585</v>
      </c>
      <c r="F11" s="13" t="n">
        <f aca="false">Liability!O27</f>
        <v>6676380.8147072</v>
      </c>
      <c r="G11" s="34" t="n">
        <f aca="false">Credit!O10</f>
        <v>0.0868397493285586</v>
      </c>
      <c r="H11" s="13" t="n">
        <f aca="false">(E11-F11)*(1-G11)+F11</f>
        <v>62872360.3900396</v>
      </c>
      <c r="I11" s="13" t="n">
        <f aca="false">MAX(H11*Basis!$B$36,Basis!$B$37)</f>
        <v>9430854.05850594</v>
      </c>
      <c r="J11" s="17" t="n">
        <f aca="false">H11+I11</f>
        <v>72303214.4485455</v>
      </c>
      <c r="K11" s="17" t="n">
        <f aca="false">MAX(J11,J12)</f>
        <v>72303214.4485455</v>
      </c>
      <c r="L11" s="36" t="n">
        <f aca="false">ROUND(K11/1000000,0)</f>
        <v>72</v>
      </c>
      <c r="M11" s="6" t="s">
        <v>183</v>
      </c>
    </row>
    <row r="12" customFormat="false" ht="15" hidden="false" customHeight="false" outlineLevel="0" collapsed="false">
      <c r="A12" s="4" t="s">
        <v>184</v>
      </c>
      <c r="B12" s="4" t="s">
        <v>185</v>
      </c>
      <c r="C12" s="4" t="n">
        <v>2041</v>
      </c>
      <c r="D12" s="13" t="n">
        <f aca="false">Liability!R23</f>
        <v>51707185</v>
      </c>
      <c r="E12" s="13" t="n">
        <f aca="false">Liability!R25</f>
        <v>68218846.6616532</v>
      </c>
      <c r="F12" s="13" t="n">
        <f aca="false">Liability!R27</f>
        <v>6676447.65057125</v>
      </c>
      <c r="G12" s="34" t="n">
        <f aca="false">Credit!R10</f>
        <v>0.167233661593554</v>
      </c>
      <c r="H12" s="13" t="n">
        <f aca="false">(E12-F12)*(1-G12)+F12</f>
        <v>57926885.9317784</v>
      </c>
      <c r="I12" s="13" t="n">
        <f aca="false">MAX(H12*Basis!$B$36,Basis!$B$37)</f>
        <v>8689032.88976676</v>
      </c>
      <c r="J12" s="17" t="n">
        <f aca="false">H12+I12</f>
        <v>66615918.8215452</v>
      </c>
      <c r="K12" s="17" t="n">
        <f aca="false">MAX(J12,J13)</f>
        <v>66615918.8215452</v>
      </c>
      <c r="L12" s="36" t="n">
        <f aca="false">ROUND(K12/1000000,0)</f>
        <v>67</v>
      </c>
      <c r="M12" s="6" t="s">
        <v>186</v>
      </c>
    </row>
    <row r="13" customFormat="false" ht="15" hidden="false" customHeight="false" outlineLevel="0" collapsed="false">
      <c r="A13" s="4" t="s">
        <v>187</v>
      </c>
      <c r="B13" s="4" t="s">
        <v>188</v>
      </c>
      <c r="C13" s="4" t="n">
        <v>2044</v>
      </c>
      <c r="D13" s="13" t="n">
        <f aca="false">Liability!U23</f>
        <v>51707185</v>
      </c>
      <c r="E13" s="13" t="n">
        <f aca="false">Liability!U25</f>
        <v>68218846.6616532</v>
      </c>
      <c r="F13" s="13" t="n">
        <f aca="false">Liability!U27</f>
        <v>6676447.65057125</v>
      </c>
      <c r="G13" s="34" t="n">
        <f aca="false">Credit!U10</f>
        <v>0.439391226499552</v>
      </c>
      <c r="H13" s="13" t="n">
        <f aca="false">(E13-F13)*(1-G13)+F13</f>
        <v>41177656.4784491</v>
      </c>
      <c r="I13" s="13" t="n">
        <f aca="false">MAX(H13*Basis!$B$36,Basis!$B$37)</f>
        <v>6176648.47176736</v>
      </c>
      <c r="J13" s="17" t="n">
        <f aca="false">H13+I13</f>
        <v>47354304.9502164</v>
      </c>
      <c r="K13" s="17" t="n">
        <f aca="false">MAX(J13,J14)</f>
        <v>47354304.9502164</v>
      </c>
      <c r="L13" s="36" t="n">
        <f aca="false">ROUND(K13/1000000,0)</f>
        <v>47</v>
      </c>
      <c r="M13" s="6" t="s">
        <v>189</v>
      </c>
    </row>
    <row r="14" customFormat="false" ht="22.35" hidden="false" customHeight="false" outlineLevel="0" collapsed="false">
      <c r="A14" s="4" t="s">
        <v>190</v>
      </c>
      <c r="B14" s="4" t="s">
        <v>191</v>
      </c>
      <c r="C14" s="4" t="n">
        <v>2047</v>
      </c>
      <c r="D14" s="13" t="n">
        <f aca="false">Liability!X23</f>
        <v>51707185</v>
      </c>
      <c r="E14" s="13" t="n">
        <f aca="false">Liability!X25</f>
        <v>68218846.6616532</v>
      </c>
      <c r="F14" s="13" t="n">
        <f aca="false">Liability!X27</f>
        <v>6676447.65057125</v>
      </c>
      <c r="G14" s="34" t="n">
        <f aca="false">Credit!X10</f>
        <v>0.913697403760072</v>
      </c>
      <c r="H14" s="13" t="n">
        <f aca="false">(E14-F14)*(1-G14)+F14</f>
        <v>11987716.4640612</v>
      </c>
      <c r="I14" s="13" t="n">
        <f aca="false">MAX(H14*Basis!$B$36,Basis!$B$37)</f>
        <v>5000000</v>
      </c>
      <c r="J14" s="17" t="n">
        <f aca="false">H14+I14</f>
        <v>16987716.4640612</v>
      </c>
      <c r="K14" s="17" t="n">
        <f aca="false">J14</f>
        <v>16987716.4640612</v>
      </c>
      <c r="L14" s="36" t="n">
        <f aca="false">ROUND(K14/1000000,0)</f>
        <v>17</v>
      </c>
      <c r="M14" s="6" t="s">
        <v>192</v>
      </c>
    </row>
    <row r="15" customFormat="false" ht="15" hidden="false" customHeight="false" outlineLevel="0" collapsed="false">
      <c r="A15" s="9"/>
      <c r="B15" s="9"/>
      <c r="C15" s="9"/>
      <c r="D15" s="9"/>
      <c r="E15" s="9"/>
      <c r="F15" s="9"/>
      <c r="G15" s="9"/>
      <c r="H15" s="9"/>
      <c r="I15" s="9"/>
      <c r="J15" s="9"/>
      <c r="K15" s="9"/>
      <c r="L15" s="9"/>
      <c r="M15" s="9"/>
    </row>
    <row r="16" customFormat="false" ht="46.25" hidden="false" customHeight="false" outlineLevel="0" collapsed="false">
      <c r="A16" s="4" t="s">
        <v>193</v>
      </c>
      <c r="B16" s="9"/>
      <c r="C16" s="9"/>
      <c r="D16" s="9"/>
      <c r="E16" s="13" t="n">
        <f aca="false">(Basis!B18+Basis!B19+Basis!B15)*(1+Basis!B31)</f>
        <v>6676447.65057125</v>
      </c>
      <c r="F16" s="9"/>
      <c r="G16" s="9"/>
      <c r="H16" s="9"/>
      <c r="I16" s="9"/>
      <c r="J16" s="17" t="n">
        <f aca="false">E16*(1+Basis!B36)</f>
        <v>7677914.79815693</v>
      </c>
      <c r="K16" s="17" t="n">
        <f aca="false">J16</f>
        <v>7677914.79815693</v>
      </c>
      <c r="L16" s="35" t="n">
        <f aca="false">ROUND(J16/1000000,1)</f>
        <v>7.7</v>
      </c>
      <c r="M16" s="6" t="s">
        <v>194</v>
      </c>
    </row>
    <row r="17" customFormat="false" ht="15" hidden="false" customHeight="false" outlineLevel="0" collapsed="false">
      <c r="A17" s="9"/>
      <c r="B17" s="9"/>
      <c r="C17" s="9"/>
      <c r="D17" s="9"/>
      <c r="E17" s="9"/>
      <c r="F17" s="9"/>
      <c r="G17" s="9"/>
      <c r="H17" s="9"/>
      <c r="I17" s="9"/>
      <c r="J17" s="9"/>
      <c r="K17" s="9"/>
      <c r="L17" s="9"/>
      <c r="M17" s="9"/>
    </row>
    <row r="18" customFormat="false" ht="23.85" hidden="false" customHeight="false" outlineLevel="0" collapsed="false">
      <c r="A18" s="7" t="s">
        <v>195</v>
      </c>
      <c r="B18" s="9"/>
      <c r="C18" s="9"/>
      <c r="D18" s="9"/>
      <c r="E18" s="9"/>
      <c r="F18" s="9"/>
      <c r="G18" s="9"/>
      <c r="H18" s="9"/>
      <c r="I18" s="9"/>
      <c r="J18" s="9"/>
      <c r="K18" s="9"/>
      <c r="L18" s="9"/>
      <c r="M18" s="9"/>
    </row>
    <row r="19" customFormat="false" ht="15" hidden="false" customHeight="false" outlineLevel="0" collapsed="false">
      <c r="A19" s="4" t="s">
        <v>166</v>
      </c>
      <c r="B19" s="9"/>
      <c r="C19" s="4" t="n">
        <v>2028</v>
      </c>
      <c r="D19" s="9"/>
      <c r="E19" s="13" t="n">
        <f aca="false">Liability!E25</f>
        <v>24367372.7090451</v>
      </c>
      <c r="F19" s="9"/>
      <c r="G19" s="9"/>
      <c r="H19" s="9"/>
      <c r="I19" s="9"/>
      <c r="J19" s="17" t="n">
        <f aca="false">E19+MAX(E19*Basis!$B$36,Basis!$B$37)</f>
        <v>29367372.7090451</v>
      </c>
      <c r="K19" s="9"/>
      <c r="L19" s="36" t="n">
        <f aca="false">ROUND(J19/1000000,0)</f>
        <v>29</v>
      </c>
      <c r="M19" s="9"/>
    </row>
    <row r="20" customFormat="false" ht="15" hidden="false" customHeight="false" outlineLevel="0" collapsed="false">
      <c r="A20" s="4" t="s">
        <v>169</v>
      </c>
      <c r="B20" s="9"/>
      <c r="C20" s="4" t="n">
        <v>2029</v>
      </c>
      <c r="D20" s="9"/>
      <c r="E20" s="13" t="n">
        <f aca="false">Liability!F25</f>
        <v>34194988.2243367</v>
      </c>
      <c r="F20" s="9"/>
      <c r="G20" s="9"/>
      <c r="H20" s="9"/>
      <c r="I20" s="9"/>
      <c r="J20" s="17" t="n">
        <f aca="false">E20+MAX(E20*Basis!$B$36,Basis!$B$37)</f>
        <v>39324236.4579872</v>
      </c>
      <c r="K20" s="9"/>
      <c r="L20" s="36" t="n">
        <f aca="false">ROUND(J20/1000000,0)</f>
        <v>39</v>
      </c>
      <c r="M20" s="9"/>
    </row>
    <row r="21" customFormat="false" ht="15" hidden="false" customHeight="false" outlineLevel="0" collapsed="false">
      <c r="A21" s="4" t="s">
        <v>172</v>
      </c>
      <c r="B21" s="9"/>
      <c r="C21" s="4" t="n">
        <v>2029</v>
      </c>
      <c r="D21" s="9"/>
      <c r="E21" s="13" t="n">
        <f aca="false">Liability!F25</f>
        <v>34194988.2243367</v>
      </c>
      <c r="F21" s="9"/>
      <c r="G21" s="9"/>
      <c r="H21" s="9"/>
      <c r="I21" s="9"/>
      <c r="J21" s="17" t="n">
        <f aca="false">E21+MAX(E21*Basis!$B$36,Basis!$B$37)</f>
        <v>39324236.4579872</v>
      </c>
      <c r="K21" s="9"/>
      <c r="L21" s="36" t="n">
        <f aca="false">ROUND(J21/1000000,0)</f>
        <v>39</v>
      </c>
      <c r="M21" s="9"/>
    </row>
    <row r="22" customFormat="false" ht="15" hidden="false" customHeight="false" outlineLevel="0" collapsed="false">
      <c r="A22" s="4" t="s">
        <v>175</v>
      </c>
      <c r="B22" s="9"/>
      <c r="C22" s="4" t="n">
        <v>2032</v>
      </c>
      <c r="D22" s="9"/>
      <c r="E22" s="13" t="n">
        <f aca="false">Liability!I25</f>
        <v>49835214.3721642</v>
      </c>
      <c r="F22" s="9"/>
      <c r="G22" s="9"/>
      <c r="H22" s="9"/>
      <c r="I22" s="9"/>
      <c r="J22" s="17" t="n">
        <f aca="false">E22+MAX(E22*Basis!$B$36,Basis!$B$37)</f>
        <v>57310496.5279888</v>
      </c>
      <c r="K22" s="9"/>
      <c r="L22" s="36" t="n">
        <f aca="false">ROUND(J22/1000000,0)</f>
        <v>57</v>
      </c>
      <c r="M22" s="9"/>
    </row>
    <row r="23" customFormat="false" ht="15" hidden="false" customHeight="false" outlineLevel="0" collapsed="false">
      <c r="A23" s="4" t="s">
        <v>178</v>
      </c>
      <c r="B23" s="9"/>
      <c r="C23" s="4" t="n">
        <v>2035</v>
      </c>
      <c r="D23" s="9"/>
      <c r="E23" s="13" t="n">
        <f aca="false">Liability!L25</f>
        <v>64180545.7731501</v>
      </c>
      <c r="F23" s="9"/>
      <c r="G23" s="9"/>
      <c r="H23" s="9"/>
      <c r="I23" s="9"/>
      <c r="J23" s="17" t="n">
        <f aca="false">E23+MAX(E23*Basis!$B$36,Basis!$B$37)</f>
        <v>73807627.6391226</v>
      </c>
      <c r="K23" s="9"/>
      <c r="L23" s="36" t="n">
        <f aca="false">ROUND(J23/1000000,0)</f>
        <v>74</v>
      </c>
      <c r="M23" s="9"/>
    </row>
    <row r="24" customFormat="false" ht="15" hidden="false" customHeight="false" outlineLevel="0" collapsed="false">
      <c r="A24" s="4" t="s">
        <v>181</v>
      </c>
      <c r="B24" s="9"/>
      <c r="C24" s="4" t="n">
        <v>2038</v>
      </c>
      <c r="D24" s="9"/>
      <c r="E24" s="13" t="n">
        <f aca="false">Liability!O25</f>
        <v>68216487.8594585</v>
      </c>
      <c r="F24" s="9"/>
      <c r="G24" s="9"/>
      <c r="H24" s="9"/>
      <c r="I24" s="9"/>
      <c r="J24" s="17" t="n">
        <f aca="false">E24+MAX(E24*Basis!$B$36,Basis!$B$37)</f>
        <v>78448961.0383772</v>
      </c>
      <c r="K24" s="9"/>
      <c r="L24" s="36" t="n">
        <f aca="false">ROUND(J24/1000000,0)</f>
        <v>78</v>
      </c>
      <c r="M24" s="9"/>
    </row>
    <row r="25" customFormat="false" ht="15" hidden="false" customHeight="false" outlineLevel="0" collapsed="false">
      <c r="A25" s="4" t="s">
        <v>184</v>
      </c>
      <c r="B25" s="9"/>
      <c r="C25" s="4" t="n">
        <v>2041</v>
      </c>
      <c r="D25" s="9"/>
      <c r="E25" s="13" t="n">
        <f aca="false">Liability!R25</f>
        <v>68218846.6616532</v>
      </c>
      <c r="F25" s="9"/>
      <c r="G25" s="9"/>
      <c r="H25" s="9"/>
      <c r="I25" s="9"/>
      <c r="J25" s="17" t="n">
        <f aca="false">E25+MAX(E25*Basis!$B$36,Basis!$B$37)</f>
        <v>78451673.6609012</v>
      </c>
      <c r="K25" s="9"/>
      <c r="L25" s="36" t="n">
        <f aca="false">ROUND(J25/1000000,0)</f>
        <v>78</v>
      </c>
      <c r="M25" s="9"/>
    </row>
    <row r="26" customFormat="false" ht="15" hidden="false" customHeight="false" outlineLevel="0" collapsed="false">
      <c r="A26" s="4" t="s">
        <v>187</v>
      </c>
      <c r="B26" s="9"/>
      <c r="C26" s="4" t="n">
        <v>2044</v>
      </c>
      <c r="D26" s="9"/>
      <c r="E26" s="13" t="n">
        <f aca="false">Liability!U25</f>
        <v>68218846.6616532</v>
      </c>
      <c r="F26" s="9"/>
      <c r="G26" s="9"/>
      <c r="H26" s="9"/>
      <c r="I26" s="9"/>
      <c r="J26" s="17" t="n">
        <f aca="false">E26+MAX(E26*Basis!$B$36,Basis!$B$37)</f>
        <v>78451673.6609012</v>
      </c>
      <c r="K26" s="9"/>
      <c r="L26" s="36" t="n">
        <f aca="false">ROUND(J26/1000000,0)</f>
        <v>78</v>
      </c>
      <c r="M26" s="9"/>
    </row>
    <row r="27" customFormat="false" ht="15" hidden="false" customHeight="false" outlineLevel="0" collapsed="false">
      <c r="A27" s="4" t="s">
        <v>190</v>
      </c>
      <c r="B27" s="9"/>
      <c r="C27" s="4" t="n">
        <v>2047</v>
      </c>
      <c r="D27" s="9"/>
      <c r="E27" s="13" t="n">
        <f aca="false">Liability!X25</f>
        <v>68218846.6616532</v>
      </c>
      <c r="F27" s="9"/>
      <c r="G27" s="9"/>
      <c r="H27" s="9"/>
      <c r="I27" s="9"/>
      <c r="J27" s="17" t="n">
        <f aca="false">E27+MAX(E27*Basis!$B$36,Basis!$B$37)</f>
        <v>78451673.6609012</v>
      </c>
      <c r="K27" s="9"/>
      <c r="L27" s="36" t="n">
        <f aca="false">ROUND(J27/1000000,0)</f>
        <v>78</v>
      </c>
      <c r="M27" s="9"/>
    </row>
    <row r="28" customFormat="false" ht="15" hidden="false" customHeight="false" outlineLevel="0" collapsed="false">
      <c r="A28" s="9"/>
      <c r="B28" s="9"/>
      <c r="C28" s="9"/>
      <c r="D28" s="9"/>
      <c r="E28" s="9"/>
      <c r="F28" s="9"/>
      <c r="G28" s="9"/>
      <c r="H28" s="9"/>
      <c r="I28" s="9"/>
      <c r="J28" s="9"/>
      <c r="K28" s="9"/>
      <c r="L28" s="9"/>
      <c r="M28" s="9"/>
    </row>
    <row r="29" customFormat="false" ht="35.05" hidden="false" customHeight="false" outlineLevel="0" collapsed="false">
      <c r="A29" s="7" t="s">
        <v>196</v>
      </c>
      <c r="B29" s="9"/>
      <c r="C29" s="9"/>
      <c r="D29" s="9"/>
      <c r="E29" s="9"/>
      <c r="F29" s="9"/>
      <c r="G29" s="9"/>
      <c r="H29" s="9"/>
      <c r="I29" s="9"/>
      <c r="J29" s="9"/>
      <c r="K29" s="9"/>
      <c r="L29" s="9"/>
      <c r="M29" s="9"/>
    </row>
    <row r="30" customFormat="false" ht="15" hidden="false" customHeight="false" outlineLevel="0" collapsed="false">
      <c r="A30" s="4" t="s">
        <v>166</v>
      </c>
      <c r="B30" s="9"/>
      <c r="C30" s="4" t="n">
        <v>2028</v>
      </c>
      <c r="D30" s="9"/>
      <c r="E30" s="13" t="n">
        <f aca="false">Liability!E25+(Basis!$B$8*(Drivers!E19-Drivers!E20))*(1+Basis!$B$31)</f>
        <v>17620385.1582035</v>
      </c>
      <c r="F30" s="13" t="n">
        <f aca="false">Liability!E27</f>
        <v>5786371.20052926</v>
      </c>
      <c r="G30" s="34" t="n">
        <f aca="false">Credit!E10</f>
        <v>0</v>
      </c>
      <c r="H30" s="13" t="n">
        <f aca="false">(E30-F30)*(1-G30)+F30</f>
        <v>17620385.1582035</v>
      </c>
      <c r="I30" s="9"/>
      <c r="J30" s="17" t="n">
        <f aca="false">H30+MAX(H30*Basis!$B$36,Basis!$B$37)</f>
        <v>22620385.1582035</v>
      </c>
      <c r="K30" s="9"/>
      <c r="L30" s="36" t="n">
        <f aca="false">ROUND(J30/1000000,0)</f>
        <v>23</v>
      </c>
      <c r="M30" s="9"/>
    </row>
    <row r="31" customFormat="false" ht="15" hidden="false" customHeight="false" outlineLevel="0" collapsed="false">
      <c r="A31" s="4" t="s">
        <v>169</v>
      </c>
      <c r="B31" s="9"/>
      <c r="C31" s="4" t="n">
        <v>2029</v>
      </c>
      <c r="D31" s="9"/>
      <c r="E31" s="13" t="n">
        <f aca="false">Liability!F25+(Basis!$B$8*(Drivers!F19-Drivers!F20))*(1+Basis!$B$31)</f>
        <v>27448000.6734951</v>
      </c>
      <c r="F31" s="13" t="n">
        <f aca="false">Liability!F27</f>
        <v>5880980.30670591</v>
      </c>
      <c r="G31" s="34" t="n">
        <f aca="false">Credit!F10</f>
        <v>0.00966875559534467</v>
      </c>
      <c r="H31" s="13" t="n">
        <f aca="false">(E31-F31)*(1-G31)+F31</f>
        <v>27239474.4246488</v>
      </c>
      <c r="I31" s="9"/>
      <c r="J31" s="17" t="n">
        <f aca="false">H31+MAX(H31*Basis!$B$36,Basis!$B$37)</f>
        <v>32239474.4246488</v>
      </c>
      <c r="K31" s="9"/>
      <c r="L31" s="36" t="n">
        <f aca="false">ROUND(J31/1000000,0)</f>
        <v>32</v>
      </c>
      <c r="M31" s="9"/>
    </row>
    <row r="32" customFormat="false" ht="15" hidden="false" customHeight="false" outlineLevel="0" collapsed="false">
      <c r="A32" s="4" t="s">
        <v>172</v>
      </c>
      <c r="B32" s="9"/>
      <c r="C32" s="4" t="n">
        <v>2029</v>
      </c>
      <c r="D32" s="9"/>
      <c r="E32" s="13" t="n">
        <f aca="false">Liability!F25+(Basis!$B$8*(Drivers!F19-Drivers!F20))*(1+Basis!$B$31)</f>
        <v>27448000.6734951</v>
      </c>
      <c r="F32" s="13" t="n">
        <f aca="false">Liability!F27</f>
        <v>5880980.30670591</v>
      </c>
      <c r="G32" s="34" t="n">
        <f aca="false">Credit!F10</f>
        <v>0.00966875559534467</v>
      </c>
      <c r="H32" s="13" t="n">
        <f aca="false">(E32-F32)*(1-G32)+F32</f>
        <v>27239474.4246488</v>
      </c>
      <c r="I32" s="9"/>
      <c r="J32" s="17" t="n">
        <f aca="false">H32+MAX(H32*Basis!$B$36,Basis!$B$37)</f>
        <v>32239474.4246488</v>
      </c>
      <c r="K32" s="9"/>
      <c r="L32" s="36" t="n">
        <f aca="false">ROUND(J32/1000000,0)</f>
        <v>32</v>
      </c>
      <c r="M32" s="9"/>
    </row>
    <row r="33" customFormat="false" ht="15" hidden="false" customHeight="false" outlineLevel="0" collapsed="false">
      <c r="A33" s="4" t="s">
        <v>175</v>
      </c>
      <c r="B33" s="9"/>
      <c r="C33" s="4" t="n">
        <v>2032</v>
      </c>
      <c r="D33" s="9"/>
      <c r="E33" s="13" t="n">
        <f aca="false">Liability!I25+(Basis!$B$8*(Drivers!I19-Drivers!I20))*(1+Basis!$B$31)</f>
        <v>44432255.0609357</v>
      </c>
      <c r="F33" s="13" t="n">
        <f aca="false">Liability!I27</f>
        <v>6195525.19541703</v>
      </c>
      <c r="G33" s="34" t="n">
        <f aca="false">Credit!I10</f>
        <v>0.0376007162041182</v>
      </c>
      <c r="H33" s="13" t="n">
        <f aca="false">(E33-F33)*(1-G33)+F33</f>
        <v>42994526.6326888</v>
      </c>
      <c r="I33" s="9"/>
      <c r="J33" s="17" t="n">
        <f aca="false">H33+MAX(H33*Basis!$B$36,Basis!$B$37)</f>
        <v>49443705.6275921</v>
      </c>
      <c r="K33" s="9"/>
      <c r="L33" s="36" t="n">
        <f aca="false">ROUND(J33/1000000,0)</f>
        <v>49</v>
      </c>
      <c r="M33" s="9"/>
    </row>
    <row r="34" customFormat="false" ht="15" hidden="false" customHeight="false" outlineLevel="0" collapsed="false">
      <c r="A34" s="4" t="s">
        <v>178</v>
      </c>
      <c r="B34" s="9"/>
      <c r="C34" s="4" t="n">
        <v>2035</v>
      </c>
      <c r="D34" s="9"/>
      <c r="E34" s="13" t="n">
        <f aca="false">Liability!L25+(Basis!$B$8*(Drivers!L19-Drivers!L20))*(1+Basis!$B$31)</f>
        <v>57863772.4708128</v>
      </c>
      <c r="F34" s="13" t="n">
        <f aca="false">Liability!L27</f>
        <v>6562023.75789906</v>
      </c>
      <c r="G34" s="34" t="n">
        <f aca="false">Credit!L10</f>
        <v>0.0555058191584602</v>
      </c>
      <c r="H34" s="13" t="n">
        <f aca="false">(E34-F34)*(1-G34)+F34</f>
        <v>55016226.884241</v>
      </c>
      <c r="I34" s="9"/>
      <c r="J34" s="17" t="n">
        <f aca="false">H34+MAX(H34*Basis!$B$36,Basis!$B$37)</f>
        <v>63268660.9168772</v>
      </c>
      <c r="K34" s="9"/>
      <c r="L34" s="36" t="n">
        <f aca="false">ROUND(J34/1000000,0)</f>
        <v>63</v>
      </c>
      <c r="M34" s="9"/>
    </row>
    <row r="35" customFormat="false" ht="15" hidden="false" customHeight="false" outlineLevel="0" collapsed="false">
      <c r="A35" s="4" t="s">
        <v>181</v>
      </c>
      <c r="B35" s="9"/>
      <c r="C35" s="4" t="n">
        <v>2038</v>
      </c>
      <c r="D35" s="9"/>
      <c r="E35" s="13" t="n">
        <f aca="false">Liability!O25+(Basis!$B$8*(Drivers!O19-Drivers!O20))*(1+Basis!$B$31)</f>
        <v>64452005.0681083</v>
      </c>
      <c r="F35" s="13" t="n">
        <f aca="false">Liability!O27</f>
        <v>6676380.8147072</v>
      </c>
      <c r="G35" s="34" t="n">
        <f aca="false">Credit!O10</f>
        <v>0.0868397493285586</v>
      </c>
      <c r="H35" s="13" t="n">
        <f aca="false">(E35-F35)*(1-G35)+F35</f>
        <v>59434784.340642</v>
      </c>
      <c r="I35" s="9"/>
      <c r="J35" s="17" t="n">
        <f aca="false">H35+MAX(H35*Basis!$B$36,Basis!$B$37)</f>
        <v>68350001.9917383</v>
      </c>
      <c r="K35" s="9"/>
      <c r="L35" s="36" t="n">
        <f aca="false">ROUND(J35/1000000,0)</f>
        <v>68</v>
      </c>
      <c r="M35" s="9"/>
    </row>
    <row r="36" customFormat="false" ht="15" hidden="false" customHeight="false" outlineLevel="0" collapsed="false">
      <c r="A36" s="4" t="s">
        <v>184</v>
      </c>
      <c r="B36" s="9"/>
      <c r="C36" s="4" t="n">
        <v>2041</v>
      </c>
      <c r="D36" s="9"/>
      <c r="E36" s="13" t="n">
        <f aca="false">Liability!R25+(Basis!$B$8*(Drivers!R19-Drivers!R20))*(1+Basis!$B$31)</f>
        <v>68218846.6616532</v>
      </c>
      <c r="F36" s="13" t="n">
        <f aca="false">Liability!R27</f>
        <v>6676447.65057125</v>
      </c>
      <c r="G36" s="34" t="n">
        <f aca="false">Credit!R10</f>
        <v>0.167233661593554</v>
      </c>
      <c r="H36" s="13" t="n">
        <f aca="false">(E36-F36)*(1-G36)+F36</f>
        <v>57926885.9317784</v>
      </c>
      <c r="I36" s="9"/>
      <c r="J36" s="17" t="n">
        <f aca="false">H36+MAX(H36*Basis!$B$36,Basis!$B$37)</f>
        <v>66615918.8215452</v>
      </c>
      <c r="K36" s="9"/>
      <c r="L36" s="36" t="n">
        <f aca="false">ROUND(J36/1000000,0)</f>
        <v>67</v>
      </c>
      <c r="M36" s="9"/>
    </row>
    <row r="37" customFormat="false" ht="15" hidden="false" customHeight="false" outlineLevel="0" collapsed="false">
      <c r="A37" s="4" t="s">
        <v>187</v>
      </c>
      <c r="B37" s="9"/>
      <c r="C37" s="4" t="n">
        <v>2044</v>
      </c>
      <c r="D37" s="9"/>
      <c r="E37" s="13" t="n">
        <f aca="false">Liability!U25+(Basis!$B$8*(Drivers!U19-Drivers!U20))*(1+Basis!$B$31)</f>
        <v>68218846.6616532</v>
      </c>
      <c r="F37" s="13" t="n">
        <f aca="false">Liability!U27</f>
        <v>6676447.65057125</v>
      </c>
      <c r="G37" s="34" t="n">
        <f aca="false">Credit!U10</f>
        <v>0.439391226499552</v>
      </c>
      <c r="H37" s="13" t="n">
        <f aca="false">(E37-F37)*(1-G37)+F37</f>
        <v>41177656.4784491</v>
      </c>
      <c r="I37" s="9"/>
      <c r="J37" s="17" t="n">
        <f aca="false">H37+MAX(H37*Basis!$B$36,Basis!$B$37)</f>
        <v>47354304.9502164</v>
      </c>
      <c r="K37" s="9"/>
      <c r="L37" s="36" t="n">
        <f aca="false">ROUND(J37/1000000,0)</f>
        <v>47</v>
      </c>
      <c r="M37" s="9"/>
    </row>
    <row r="38" customFormat="false" ht="15" hidden="false" customHeight="false" outlineLevel="0" collapsed="false">
      <c r="A38" s="4" t="s">
        <v>190</v>
      </c>
      <c r="B38" s="9"/>
      <c r="C38" s="4" t="n">
        <v>2047</v>
      </c>
      <c r="D38" s="9"/>
      <c r="E38" s="13" t="n">
        <f aca="false">Liability!X25+(Basis!$B$8*(Drivers!X19-Drivers!X20))*(1+Basis!$B$31)</f>
        <v>68218846.6616532</v>
      </c>
      <c r="F38" s="13" t="n">
        <f aca="false">Liability!X27</f>
        <v>6676447.65057125</v>
      </c>
      <c r="G38" s="34" t="n">
        <f aca="false">Credit!X10</f>
        <v>0.913697403760072</v>
      </c>
      <c r="H38" s="13" t="n">
        <f aca="false">(E38-F38)*(1-G38)+F38</f>
        <v>11987716.4640612</v>
      </c>
      <c r="I38" s="9"/>
      <c r="J38" s="17" t="n">
        <f aca="false">H38+MAX(H38*Basis!$B$36,Basis!$B$37)</f>
        <v>16987716.4640612</v>
      </c>
      <c r="K38" s="9"/>
      <c r="L38" s="36" t="n">
        <f aca="false">ROUND(J38/1000000,0)</f>
        <v>17</v>
      </c>
      <c r="M38" s="9"/>
    </row>
    <row r="39" customFormat="false" ht="15" hidden="false" customHeight="false" outlineLevel="0" collapsed="false">
      <c r="A39" s="9"/>
      <c r="B39" s="9"/>
      <c r="C39" s="9"/>
      <c r="D39" s="9"/>
      <c r="E39" s="9"/>
      <c r="F39" s="9"/>
      <c r="G39" s="9"/>
      <c r="H39" s="9"/>
      <c r="I39" s="9"/>
      <c r="J39" s="9"/>
      <c r="K39" s="9"/>
      <c r="L39" s="9"/>
      <c r="M39"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0"/>
  </cols>
  <sheetData>
    <row r="1" customFormat="false" ht="16.15" hidden="false" customHeight="false" outlineLevel="0" collapsed="false">
      <c r="A1" s="1" t="s">
        <v>197</v>
      </c>
    </row>
    <row r="3" customFormat="false" ht="15" hidden="false" customHeight="false" outlineLevel="0" collapsed="false">
      <c r="A3" s="18" t="s">
        <v>198</v>
      </c>
      <c r="B3" s="37" t="s">
        <v>199</v>
      </c>
    </row>
    <row r="4" customFormat="false" ht="15" hidden="false" customHeight="false" outlineLevel="0" collapsed="false">
      <c r="A4" s="18" t="s">
        <v>200</v>
      </c>
      <c r="B4" s="37" t="s">
        <v>201</v>
      </c>
    </row>
    <row r="5" customFormat="false" ht="15" hidden="false" customHeight="false" outlineLevel="0" collapsed="false">
      <c r="A5" s="18" t="s">
        <v>202</v>
      </c>
      <c r="B5" s="37" t="s">
        <v>203</v>
      </c>
    </row>
    <row r="6" customFormat="false" ht="15" hidden="false" customHeight="false" outlineLevel="0" collapsed="false">
      <c r="A6" s="18" t="s">
        <v>204</v>
      </c>
      <c r="B6" s="37" t="s">
        <v>205</v>
      </c>
    </row>
    <row r="7" customFormat="false" ht="15" hidden="false" customHeight="false" outlineLevel="0" collapsed="false">
      <c r="A7" s="18" t="s">
        <v>206</v>
      </c>
      <c r="B7" s="37" t="s">
        <v>207</v>
      </c>
    </row>
    <row r="8" customFormat="false" ht="15" hidden="false" customHeight="false" outlineLevel="0" collapsed="false">
      <c r="A8" s="18" t="s">
        <v>208</v>
      </c>
      <c r="B8" s="37" t="s">
        <v>209</v>
      </c>
    </row>
    <row r="9" customFormat="false" ht="23.85" hidden="false" customHeight="false" outlineLevel="0" collapsed="false">
      <c r="A9" s="18" t="s">
        <v>210</v>
      </c>
      <c r="B9" s="37" t="s">
        <v>211</v>
      </c>
    </row>
    <row r="10" customFormat="false" ht="15" hidden="false" customHeight="false" outlineLevel="0" collapsed="false">
      <c r="A10" s="18" t="s">
        <v>64</v>
      </c>
      <c r="B10" s="37" t="s">
        <v>212</v>
      </c>
    </row>
    <row r="11" customFormat="false" ht="15" hidden="false" customHeight="false" outlineLevel="0" collapsed="false">
      <c r="A11" s="18" t="s">
        <v>213</v>
      </c>
      <c r="B11" s="37" t="s">
        <v>214</v>
      </c>
    </row>
    <row r="12" customFormat="false" ht="15" hidden="false" customHeight="false" outlineLevel="0" collapsed="false">
      <c r="A12" s="18" t="s">
        <v>215</v>
      </c>
      <c r="B12" s="37" t="s">
        <v>216</v>
      </c>
    </row>
    <row r="13" customFormat="false" ht="15" hidden="false" customHeight="false" outlineLevel="0" collapsed="false">
      <c r="A13" s="18" t="s">
        <v>217</v>
      </c>
      <c r="B13" s="37" t="s">
        <v>218</v>
      </c>
    </row>
    <row r="14" customFormat="false" ht="15" hidden="false" customHeight="false" outlineLevel="0" collapsed="false">
      <c r="A14" s="18" t="s">
        <v>164</v>
      </c>
      <c r="B14" s="37" t="s">
        <v>219</v>
      </c>
    </row>
    <row r="15" customFormat="false" ht="15" hidden="false" customHeight="false" outlineLevel="0" collapsed="false">
      <c r="A15" s="18" t="s">
        <v>220</v>
      </c>
      <c r="B15" s="37" t="s">
        <v>221</v>
      </c>
    </row>
    <row r="16" customFormat="false" ht="15" hidden="false" customHeight="false" outlineLevel="0" collapsed="false">
      <c r="A16" s="18" t="s">
        <v>222</v>
      </c>
      <c r="B16" s="37"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DC7CFD1F83F74EBDD40140CF1C6ED3" ma:contentTypeVersion="20" ma:contentTypeDescription="Create a new document." ma:contentTypeScope="" ma:versionID="854ba7f5813076caae711f56b1e70b1b">
  <xsd:schema xmlns:xsd="http://www.w3.org/2001/XMLSchema" xmlns:xs="http://www.w3.org/2001/XMLSchema" xmlns:p="http://schemas.microsoft.com/office/2006/metadata/properties" xmlns:ns1="http://schemas.microsoft.com/sharepoint/v3" xmlns:ns2="e75a9c28-ec60-41c4-9cf3-a1cb0e9481be" xmlns:ns3="6bd1a0e5-aab1-4d53-bf32-f6670d40da69" targetNamespace="http://schemas.microsoft.com/office/2006/metadata/properties" ma:root="true" ma:fieldsID="acea0b6a901472ae9716d154ec2996a2" ns1:_="" ns2:_="" ns3:_="">
    <xsd:import namespace="http://schemas.microsoft.com/sharepoint/v3"/>
    <xsd:import namespace="e75a9c28-ec60-41c4-9cf3-a1cb0e9481be"/>
    <xsd:import namespace="6bd1a0e5-aab1-4d53-bf32-f6670d40da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5a9c28-ec60-41c4-9cf3-a1cb0e948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227acb6-5a42-4705-b9e6-b0b04d6bef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d1a0e5-aab1-4d53-bf32-f6670d40da6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751aef4-a5e4-419d-83fc-8ea63de5b810}" ma:internalName="TaxCatchAll" ma:showField="CatchAllData" ma:web="6bd1a0e5-aab1-4d53-bf32-f6670d40da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bd1a0e5-aab1-4d53-bf32-f6670d40da69" xsi:nil="true"/>
    <_ip_UnifiedCompliancePolicyProperties xmlns="http://schemas.microsoft.com/sharepoint/v3" xsi:nil="true"/>
    <lcf76f155ced4ddcb4097134ff3c332f xmlns="e75a9c28-ec60-41c4-9cf3-a1cb0e9481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57B1FB-882C-41D9-94C4-880E45612173}"/>
</file>

<file path=customXml/itemProps2.xml><?xml version="1.0" encoding="utf-8"?>
<ds:datastoreItem xmlns:ds="http://schemas.openxmlformats.org/officeDocument/2006/customXml" ds:itemID="{7EE0FF54-8688-43E5-B8A0-E0D622192CB3}"/>
</file>

<file path=customXml/itemProps3.xml><?xml version="1.0" encoding="utf-8"?>
<ds:datastoreItem xmlns:ds="http://schemas.openxmlformats.org/officeDocument/2006/customXml" ds:itemID="{D3B5E8C3-59D7-42CD-A91A-D5B91C3DCA96}"/>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0x01010077DC7CFD1F83F74EBDD40140CF1C6ED3</vt:lpwstr>
  </property>
</Properties>
</file>