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6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7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8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9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10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1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12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drawings/drawing13.xml" ContentType="application/vnd.openxmlformats-officedocument.drawing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14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Documents\RA004RE---Rocky Mt CR Minerals\Modifications\19-1\FA &amp; Cost Estimate\042820 Submittal\"/>
    </mc:Choice>
  </mc:AlternateContent>
  <xr:revisionPtr revIDLastSave="0" documentId="8_{9C6D540E-13FC-4CFC-BD97-46135A9016DF}" xr6:coauthVersionLast="45" xr6:coauthVersionMax="45" xr10:uidLastSave="{00000000-0000-0000-0000-000000000000}"/>
  <bookViews>
    <workbookView xWindow="-120" yWindow="-120" windowWidth="29040" windowHeight="15840" tabRatio="923" firstSheet="1" activeTab="13" xr2:uid="{00000000-000D-0000-FFFF-FFFF00000000}"/>
  </bookViews>
  <sheets>
    <sheet name="General" sheetId="1" r:id="rId1"/>
    <sheet name="1...Describe" sheetId="2" r:id="rId2"/>
    <sheet name="2...Demo" sheetId="3" r:id="rId3"/>
    <sheet name="3...Material" sheetId="4" r:id="rId4"/>
    <sheet name="4...Earthwrk" sheetId="5" r:id="rId5"/>
    <sheet name="5...Dozer" sheetId="6" r:id="rId6"/>
    <sheet name="6...Grading" sheetId="7" r:id="rId7"/>
    <sheet name="7...Ripper" sheetId="8" r:id="rId8"/>
    <sheet name="8...Loader" sheetId="9" state="hidden" r:id="rId9"/>
    <sheet name="9...Trucks" sheetId="10" state="hidden" r:id="rId10"/>
    <sheet name="10...Backhoe" sheetId="11" state="hidden" r:id="rId11"/>
    <sheet name="11...Scraper" sheetId="12" r:id="rId12"/>
    <sheet name="12...M'grader" sheetId="13" state="hidden" r:id="rId13"/>
    <sheet name="13..EarthSum" sheetId="14" r:id="rId14"/>
    <sheet name="14...Reveg" sheetId="15" r:id="rId15"/>
    <sheet name="15...Other" sheetId="16" r:id="rId16"/>
    <sheet name="16..BondSum" sheetId="17" r:id="rId17"/>
    <sheet name="16a..Phased Sum" sheetId="18" state="hidden" r:id="rId18"/>
    <sheet name="17...Release" sheetId="19" state="hidden" r:id="rId19"/>
    <sheet name="A...ENR Index" sheetId="20" state="hidden" r:id="rId20"/>
    <sheet name="B...Equip Cost" sheetId="21" state="hidden" r:id="rId21"/>
    <sheet name="17. 20 yr CPI BLS" sheetId="23" r:id="rId22"/>
    <sheet name="18. NM Dept WkFc solutions" sheetId="24" r:id="rId23"/>
    <sheet name="HELP" sheetId="22" r:id="rId24"/>
  </sheets>
  <definedNames>
    <definedName name="_xlnm.Print_Area" localSheetId="16">'16..BondSum'!$D$1:$H$28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7" l="1"/>
  <c r="I9" i="16" l="1"/>
  <c r="J10" i="15"/>
  <c r="F54" i="15" l="1"/>
  <c r="F49" i="15"/>
  <c r="L10" i="17" l="1"/>
  <c r="J11" i="17" s="1"/>
  <c r="H9" i="16" l="1"/>
  <c r="B33" i="23" l="1"/>
  <c r="G9" i="3" l="1"/>
  <c r="J23" i="3"/>
  <c r="N32" i="17" l="1"/>
  <c r="M10" i="17" l="1"/>
  <c r="H11" i="12"/>
  <c r="H13" i="8"/>
  <c r="E12" i="8"/>
  <c r="I9" i="4" l="1"/>
  <c r="I10" i="4"/>
  <c r="E19" i="14" l="1"/>
  <c r="E5" i="12" l="1"/>
  <c r="E27" i="8"/>
  <c r="H27" i="8" s="1"/>
  <c r="E22" i="6"/>
  <c r="E13" i="14" s="1"/>
  <c r="E10" i="12" l="1"/>
  <c r="D10" i="4"/>
  <c r="D11" i="4" s="1"/>
  <c r="I3" i="2" l="1"/>
  <c r="G3" i="17" s="1"/>
  <c r="D2" i="2"/>
  <c r="D2" i="7" s="1"/>
  <c r="I1" i="2"/>
  <c r="J1" i="3" s="1"/>
  <c r="D1" i="2"/>
  <c r="D1" i="7" s="1"/>
  <c r="I3" i="12"/>
  <c r="D2" i="12"/>
  <c r="I1" i="12"/>
  <c r="D1" i="12"/>
  <c r="E23" i="14"/>
  <c r="E20" i="14"/>
  <c r="E16" i="14"/>
  <c r="L3" i="14"/>
  <c r="L1" i="14"/>
  <c r="H20" i="14"/>
  <c r="I20" i="14" s="1"/>
  <c r="H12" i="8"/>
  <c r="H19" i="14" s="1"/>
  <c r="I19" i="14" s="1"/>
  <c r="F20" i="15"/>
  <c r="H11" i="7"/>
  <c r="H29" i="6"/>
  <c r="E11" i="6"/>
  <c r="H12" i="6"/>
  <c r="H15" i="15"/>
  <c r="H16" i="15"/>
  <c r="H3" i="15"/>
  <c r="D2" i="15"/>
  <c r="H1" i="15"/>
  <c r="D1" i="15"/>
  <c r="H10" i="16"/>
  <c r="H4" i="16"/>
  <c r="D2" i="16"/>
  <c r="H1" i="16"/>
  <c r="D1" i="16"/>
  <c r="D2" i="17"/>
  <c r="G1" i="17"/>
  <c r="D1" i="17"/>
  <c r="G7" i="3"/>
  <c r="G8" i="3"/>
  <c r="J3" i="3"/>
  <c r="A2" i="3"/>
  <c r="D2" i="8" s="1"/>
  <c r="A1" i="3"/>
  <c r="D1" i="8" s="1"/>
  <c r="K3" i="4"/>
  <c r="D2" i="4"/>
  <c r="K1" i="4"/>
  <c r="D1" i="4"/>
  <c r="I3" i="5"/>
  <c r="D2" i="5"/>
  <c r="D2" i="10" s="1"/>
  <c r="I1" i="5"/>
  <c r="D1" i="5"/>
  <c r="D1" i="10" s="1"/>
  <c r="E5" i="6"/>
  <c r="I3" i="6"/>
  <c r="D2" i="6"/>
  <c r="I1" i="6"/>
  <c r="D1" i="6"/>
  <c r="I3" i="7"/>
  <c r="I1" i="7"/>
  <c r="H28" i="8"/>
  <c r="E28" i="8"/>
  <c r="E13" i="8"/>
  <c r="I3" i="8"/>
  <c r="I1" i="8"/>
  <c r="E13" i="9"/>
  <c r="E12" i="9"/>
  <c r="H12" i="9" s="1"/>
  <c r="E11" i="9"/>
  <c r="E11" i="10" s="1"/>
  <c r="I3" i="9"/>
  <c r="D2" i="9"/>
  <c r="I1" i="9"/>
  <c r="D1" i="9"/>
  <c r="E27" i="10"/>
  <c r="E28" i="10" s="1"/>
  <c r="H32" i="10"/>
  <c r="H31" i="10"/>
  <c r="H30" i="10"/>
  <c r="H29" i="10"/>
  <c r="H28" i="10"/>
  <c r="H27" i="10"/>
  <c r="G26" i="10"/>
  <c r="H26" i="10"/>
  <c r="G25" i="10"/>
  <c r="H25" i="10"/>
  <c r="I25" i="10" s="1"/>
  <c r="I3" i="10"/>
  <c r="I1" i="10"/>
  <c r="F3" i="1"/>
  <c r="G10" i="3" l="1"/>
  <c r="I26" i="10"/>
  <c r="G10" i="17"/>
  <c r="H20" i="15"/>
  <c r="E16" i="10"/>
  <c r="H16" i="10" s="1"/>
  <c r="J16" i="14"/>
  <c r="H3" i="16"/>
  <c r="J19" i="14"/>
  <c r="L19" i="14" s="1"/>
  <c r="J20" i="14"/>
  <c r="L20" i="14" s="1"/>
  <c r="G7" i="17"/>
  <c r="H10" i="12"/>
  <c r="H23" i="14" s="1"/>
  <c r="J23" i="14"/>
  <c r="H11" i="6"/>
  <c r="H12" i="14" s="1"/>
  <c r="J12" i="14"/>
  <c r="H11" i="9"/>
  <c r="G28" i="10"/>
  <c r="I28" i="10" s="1"/>
  <c r="E29" i="10"/>
  <c r="G27" i="10"/>
  <c r="I27" i="10" s="1"/>
  <c r="H10" i="7"/>
  <c r="H16" i="14" s="1"/>
  <c r="I16" i="14" s="1"/>
  <c r="I12" i="14" l="1"/>
  <c r="L12" i="14" s="1"/>
  <c r="H25" i="14"/>
  <c r="I23" i="14"/>
  <c r="L23" i="14" s="1"/>
  <c r="H23" i="15"/>
  <c r="G10" i="15" s="1"/>
  <c r="G9" i="17" s="1"/>
  <c r="E12" i="10"/>
  <c r="H12" i="10" s="1"/>
  <c r="H11" i="10" s="1"/>
  <c r="E28" i="6"/>
  <c r="L16" i="14"/>
  <c r="E30" i="10"/>
  <c r="G29" i="10"/>
  <c r="I29" i="10" s="1"/>
  <c r="H28" i="6" l="1"/>
  <c r="I13" i="14" s="1"/>
  <c r="L13" i="14" s="1"/>
  <c r="E31" i="10"/>
  <c r="G30" i="10"/>
  <c r="I30" i="10" s="1"/>
  <c r="I27" i="14" l="1"/>
  <c r="G5" i="14" s="1"/>
  <c r="G8" i="17" s="1"/>
  <c r="G11" i="17" s="1"/>
  <c r="E32" i="10"/>
  <c r="G32" i="10" s="1"/>
  <c r="I32" i="10" s="1"/>
  <c r="G31" i="10"/>
  <c r="I31" i="10" s="1"/>
  <c r="G14" i="17" l="1"/>
  <c r="G16" i="17" l="1"/>
  <c r="G17" i="17"/>
  <c r="G18" i="17"/>
  <c r="G19" i="17"/>
  <c r="G20" i="17"/>
  <c r="G21" i="17"/>
  <c r="G22" i="17"/>
  <c r="G23" i="17"/>
  <c r="G28" i="17" l="1"/>
  <c r="E19" i="1" s="1"/>
  <c r="L11" i="17"/>
  <c r="J12" i="17" s="1"/>
  <c r="M11" i="17" l="1"/>
  <c r="L12" i="17"/>
  <c r="M12" i="17" s="1"/>
  <c r="J13" i="17" l="1"/>
  <c r="L13" i="17" l="1"/>
  <c r="M13" i="17" l="1"/>
  <c r="J14" i="17"/>
  <c r="L14" i="17" s="1"/>
  <c r="M14" i="17" s="1"/>
  <c r="L1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F18" authorId="0" shapeId="0" xr:uid="{00000000-0006-0000-10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F19" authorId="0" shapeId="0" xr:uid="{00000000-0006-0000-10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F21" authorId="0" shapeId="0" xr:uid="{00000000-0006-0000-10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<sst xmlns="http://schemas.openxmlformats.org/spreadsheetml/2006/main" count="644" uniqueCount="397">
  <si>
    <t>BOND AMOUNT CALCULATION</t>
  </si>
  <si>
    <t>Rocky Mountain Mine</t>
  </si>
  <si>
    <t>New Mexico Mining and Minerals Division</t>
  </si>
  <si>
    <t>General Information</t>
  </si>
  <si>
    <t>Applicant</t>
  </si>
  <si>
    <t>CR Minerals</t>
  </si>
  <si>
    <t>Contact:</t>
  </si>
  <si>
    <t>Permit Number</t>
  </si>
  <si>
    <t>RA004RE</t>
  </si>
  <si>
    <t>Number of Acres</t>
  </si>
  <si>
    <t>Type of Operation</t>
  </si>
  <si>
    <t>Existing/Surface/Pumice</t>
  </si>
  <si>
    <t>Location</t>
  </si>
  <si>
    <t>Espanola</t>
  </si>
  <si>
    <t>Prepared by</t>
  </si>
  <si>
    <t>Recommended Bond</t>
  </si>
  <si>
    <t>Worksheet #1</t>
  </si>
  <si>
    <t>Reclamation Description</t>
  </si>
  <si>
    <t>Describe worst-case reclamation scenario:</t>
  </si>
  <si>
    <t>Remove buildings, sheds, equipment, tanks, fuel, and foundations</t>
  </si>
  <si>
    <t>Remove portable screening equipment</t>
  </si>
  <si>
    <t>Remove abandoned equipment and debris</t>
  </si>
  <si>
    <t>Earthmoving</t>
  </si>
  <si>
    <t>Ripping</t>
  </si>
  <si>
    <t>Grading</t>
  </si>
  <si>
    <t>Revegetation</t>
  </si>
  <si>
    <t>Other</t>
  </si>
  <si>
    <t>Worksheet #2</t>
  </si>
  <si>
    <t>Structure Demolition and Disposal Cost Summary</t>
  </si>
  <si>
    <t>Location Adjust.</t>
  </si>
  <si>
    <t>Santa Fe</t>
  </si>
  <si>
    <t>Subtotals</t>
  </si>
  <si>
    <t>Buildings</t>
  </si>
  <si>
    <t>Disposal</t>
  </si>
  <si>
    <t>Total Cost</t>
  </si>
  <si>
    <t>Unit</t>
  </si>
  <si>
    <t>Item</t>
  </si>
  <si>
    <t>Area</t>
  </si>
  <si>
    <t>Description</t>
  </si>
  <si>
    <t>Material</t>
  </si>
  <si>
    <t>Dimensions</t>
  </si>
  <si>
    <t>Quantity</t>
  </si>
  <si>
    <t>Cost</t>
  </si>
  <si>
    <t>(ft)</t>
  </si>
  <si>
    <t>($/unit)</t>
  </si>
  <si>
    <t>($)</t>
  </si>
  <si>
    <t>Buildings to be demolished:</t>
  </si>
  <si>
    <t>Other items to be demolished:</t>
  </si>
  <si>
    <t>Debris handling and disposal costs:</t>
  </si>
  <si>
    <t>metal</t>
  </si>
  <si>
    <t>misc.</t>
  </si>
  <si>
    <t>Total Cost (unadjusted)</t>
  </si>
  <si>
    <t>Date Sources:</t>
  </si>
  <si>
    <t>Worksheet #3</t>
  </si>
  <si>
    <t>Material Handling Plan Summary Sheet</t>
  </si>
  <si>
    <t>Haul</t>
  </si>
  <si>
    <t>Volume</t>
  </si>
  <si>
    <t>Origin</t>
  </si>
  <si>
    <t>Destination</t>
  </si>
  <si>
    <t>Distance</t>
  </si>
  <si>
    <t>Grade</t>
  </si>
  <si>
    <t>Equipment</t>
  </si>
  <si>
    <t>(cy)</t>
  </si>
  <si>
    <t>toe</t>
  </si>
  <si>
    <t>D9</t>
  </si>
  <si>
    <t>pit</t>
  </si>
  <si>
    <t>Worksheet #4</t>
  </si>
  <si>
    <t>Earthwork Quantity Worksheet</t>
  </si>
  <si>
    <t>Cover</t>
  </si>
  <si>
    <t>Swell</t>
  </si>
  <si>
    <t>Depth</t>
  </si>
  <si>
    <t>Factor</t>
  </si>
  <si>
    <t>(ac)</t>
  </si>
  <si>
    <t>Worksheet #5</t>
  </si>
  <si>
    <t>Productivity and Hours Required for Dozer Use---Earthmoving</t>
  </si>
  <si>
    <t>Description:</t>
  </si>
  <si>
    <t>Equipment:</t>
  </si>
  <si>
    <t>Highwalls &amp; overburd. (26-4: sand-clay, loose)</t>
  </si>
  <si>
    <t>cy</t>
  </si>
  <si>
    <t>Time</t>
  </si>
  <si>
    <t>hours</t>
  </si>
  <si>
    <t>Productivity</t>
  </si>
  <si>
    <t>cy/hr-dozer</t>
  </si>
  <si>
    <t>PERFORMANCE FACTORS</t>
  </si>
  <si>
    <t>material</t>
  </si>
  <si>
    <t>operator</t>
  </si>
  <si>
    <t>grade</t>
  </si>
  <si>
    <t>work hour</t>
  </si>
  <si>
    <t>min/hr</t>
  </si>
  <si>
    <t>soil weight correction</t>
  </si>
  <si>
    <t>lb/cy</t>
  </si>
  <si>
    <t>visibility</t>
  </si>
  <si>
    <t>prod. method/blade</t>
  </si>
  <si>
    <t>elevation</t>
  </si>
  <si>
    <t>normal production</t>
  </si>
  <si>
    <t>cy/hr</t>
  </si>
  <si>
    <t>direct drive trans.</t>
  </si>
  <si>
    <t>Worksheet #6</t>
  </si>
  <si>
    <t>Productivity and Hours Required for Dozer Use---Grading</t>
  </si>
  <si>
    <t>ac</t>
  </si>
  <si>
    <t>ac/hr-dozer</t>
  </si>
  <si>
    <t>effective blade width</t>
  </si>
  <si>
    <t>feet</t>
  </si>
  <si>
    <t>speed</t>
  </si>
  <si>
    <t>miles/hr</t>
  </si>
  <si>
    <t>Worksheet #7</t>
  </si>
  <si>
    <t>Productivity and Hours Required for</t>
  </si>
  <si>
    <t xml:space="preserve">          Ripper-Equipped Dozer Use</t>
  </si>
  <si>
    <t>ripping length</t>
  </si>
  <si>
    <t>ft</t>
  </si>
  <si>
    <t>turn time</t>
  </si>
  <si>
    <t>min/pass</t>
  </si>
  <si>
    <t>ripper penetration</t>
  </si>
  <si>
    <t>in</t>
  </si>
  <si>
    <t>pocket spacing</t>
  </si>
  <si>
    <t>no. of pockets</t>
  </si>
  <si>
    <t>Worksheet #8</t>
  </si>
  <si>
    <t>Productivity and Hours Required for Loader Use</t>
  </si>
  <si>
    <t>100' haul</t>
  </si>
  <si>
    <t>Net Bucket Capacity</t>
  </si>
  <si>
    <t>cy/hr-loader</t>
  </si>
  <si>
    <t>Loader Cycle Time</t>
  </si>
  <si>
    <t>min</t>
  </si>
  <si>
    <t>heaped bucket capacity</t>
  </si>
  <si>
    <t>haul time</t>
  </si>
  <si>
    <t>bucket fill factor</t>
  </si>
  <si>
    <t>return time</t>
  </si>
  <si>
    <t>cycle time</t>
  </si>
  <si>
    <t>Operating Cost</t>
  </si>
  <si>
    <t>$/hr</t>
  </si>
  <si>
    <t>Worksheet #9</t>
  </si>
  <si>
    <t>Productivity and Hours Required for Truck Use</t>
  </si>
  <si>
    <t>Truck Cycle Time</t>
  </si>
  <si>
    <t>struck capacity</t>
  </si>
  <si>
    <t>heaped capacity</t>
  </si>
  <si>
    <t>loader cycles per truck</t>
  </si>
  <si>
    <t>/truck</t>
  </si>
  <si>
    <t>loading time</t>
  </si>
  <si>
    <t>no. of trucks (select)</t>
  </si>
  <si>
    <t>trucks</t>
  </si>
  <si>
    <t>truck exchange time</t>
  </si>
  <si>
    <t>one-way haul</t>
  </si>
  <si>
    <t>dump/manuev. time</t>
  </si>
  <si>
    <t>haul grade</t>
  </si>
  <si>
    <t>%</t>
  </si>
  <si>
    <t>rolling resistance</t>
  </si>
  <si>
    <t>No. of</t>
  </si>
  <si>
    <t>Trucks</t>
  </si>
  <si>
    <t>Loader</t>
  </si>
  <si>
    <t>Hours</t>
  </si>
  <si>
    <t>Optimum====&gt;</t>
  </si>
  <si>
    <t>Productivity for Hydraulic Excavator Use (Backhoe or Power Shovel)</t>
  </si>
  <si>
    <t>Worksheet #11</t>
  </si>
  <si>
    <t>Productivity and Hours Required for Scraper Use</t>
  </si>
  <si>
    <t>cy/hr-scraper</t>
  </si>
  <si>
    <t>load time</t>
  </si>
  <si>
    <t>loaded trip time</t>
  </si>
  <si>
    <t>grade (loaded)</t>
  </si>
  <si>
    <t>haul distance</t>
  </si>
  <si>
    <t>return trip time</t>
  </si>
  <si>
    <t>Productivity and Hours Required for Motorgrader Use---Grading</t>
  </si>
  <si>
    <t>Worksheet #13</t>
  </si>
  <si>
    <t>Summary Calculation of Earthmoving Costs</t>
  </si>
  <si>
    <t>Owning and</t>
  </si>
  <si>
    <t>Labor</t>
  </si>
  <si>
    <t>Total</t>
  </si>
  <si>
    <t>Prod.</t>
  </si>
  <si>
    <t>Type</t>
  </si>
  <si>
    <t>Req'd</t>
  </si>
  <si>
    <t>Production</t>
  </si>
  <si>
    <t>($/hr)</t>
  </si>
  <si>
    <t>(hrs)</t>
  </si>
  <si>
    <t>Dozers-Earthmoving</t>
  </si>
  <si>
    <t>Dozers-Grading</t>
  </si>
  <si>
    <t>Rippers</t>
  </si>
  <si>
    <t>Scrapers</t>
  </si>
  <si>
    <t>Worksheet #14</t>
  </si>
  <si>
    <t>Revegetation Costs</t>
  </si>
  <si>
    <t>Apply mulch, fertilizer, and seed mix to areas</t>
  </si>
  <si>
    <t xml:space="preserve">          and chain, plow, and crimp</t>
  </si>
  <si>
    <t>Subtotal</t>
  </si>
  <si>
    <t>(acres)</t>
  </si>
  <si>
    <t>($/acre)</t>
  </si>
  <si>
    <t>Data Sources:</t>
  </si>
  <si>
    <t>Worksheet #15</t>
  </si>
  <si>
    <t>Other Reclamation Activity Costs</t>
  </si>
  <si>
    <t>Activity</t>
  </si>
  <si>
    <t>Worksheet #16</t>
  </si>
  <si>
    <t>Reclamation Bond Summary</t>
  </si>
  <si>
    <t>DIRECT COSTS</t>
  </si>
  <si>
    <t>Facility and Structure Removal</t>
  </si>
  <si>
    <t>Revegetation @ percent bonded</t>
  </si>
  <si>
    <t>Cost Escalation Period (years)</t>
  </si>
  <si>
    <t>Adjusted Subtotal</t>
  </si>
  <si>
    <t>TOTAL BOND AMOUNT</t>
  </si>
  <si>
    <t>Reclamation Phased Bond Summary</t>
  </si>
  <si>
    <t>Reclamation Bond Release</t>
  </si>
  <si>
    <t>ENR Construction Cost Index Data</t>
  </si>
  <si>
    <t>Operating Equipment Costs</t>
  </si>
  <si>
    <t>Caterpillar</t>
  </si>
  <si>
    <t>Performance</t>
  </si>
  <si>
    <t>Handbook</t>
  </si>
  <si>
    <t>page(s)</t>
  </si>
  <si>
    <t>SCRAPER</t>
  </si>
  <si>
    <t>Part 8</t>
  </si>
  <si>
    <t>8-11</t>
  </si>
  <si>
    <t>8-14 to 8-66</t>
  </si>
  <si>
    <t>manuever and spread time</t>
  </si>
  <si>
    <t>TRUCKS</t>
  </si>
  <si>
    <t>Part 9</t>
  </si>
  <si>
    <t>9-11 to 9-41</t>
  </si>
  <si>
    <t>26-1</t>
  </si>
  <si>
    <t>fixed times--load, dump</t>
  </si>
  <si>
    <t>9-6</t>
  </si>
  <si>
    <t>P.O. Box 708</t>
  </si>
  <si>
    <t>Ohkay Owingeh, NM 87566</t>
  </si>
  <si>
    <t>Revegetate all ripped roadways</t>
  </si>
  <si>
    <t>Joe Griego</t>
  </si>
  <si>
    <t>(505) 428-2940</t>
  </si>
  <si>
    <t>TH</t>
  </si>
  <si>
    <t>&lt;30%</t>
  </si>
  <si>
    <t>&lt;10%</t>
  </si>
  <si>
    <t xml:space="preserve"> </t>
  </si>
  <si>
    <t>Total Cost:</t>
  </si>
  <si>
    <t>Total Cost (adjusted)</t>
  </si>
  <si>
    <t xml:space="preserve">     Note: Costs were calculated by using RS Means costs for demolition of average mixed type</t>
  </si>
  <si>
    <t>material for 2011 (Total O&amp;P = $0.33)</t>
  </si>
  <si>
    <t xml:space="preserve">Santa Fe Cost Index location adjustment </t>
  </si>
  <si>
    <t>Revegetate pit bottom</t>
  </si>
  <si>
    <t>Revegetate slopes</t>
  </si>
  <si>
    <t>RS Means Site Work Cost Data (2011)</t>
  </si>
  <si>
    <t>pit or toe</t>
  </si>
  <si>
    <t>crest, overburden</t>
  </si>
  <si>
    <t>RS Means Construction Cost Data (2011)</t>
  </si>
  <si>
    <t>D9---Roads Outside Pit Area</t>
  </si>
  <si>
    <t>manuever and  spread time</t>
  </si>
  <si>
    <t>Various</t>
  </si>
  <si>
    <t>Grade all disturbed areas</t>
  </si>
  <si>
    <t>Construct check dams and rip rap channels as necessary</t>
  </si>
  <si>
    <t>Notes:</t>
  </si>
  <si>
    <t xml:space="preserve">Notes: </t>
  </si>
  <si>
    <t>Rip &amp; cover pit bottom with soil</t>
  </si>
  <si>
    <r>
      <rPr>
        <b/>
        <u/>
        <sz val="12"/>
        <rFont val="Arial"/>
        <family val="2"/>
      </rPr>
      <t>Notes:</t>
    </r>
    <r>
      <rPr>
        <sz val="12"/>
        <rFont val="Arial"/>
        <family val="2"/>
      </rPr>
      <t xml:space="preserve">  </t>
    </r>
  </si>
  <si>
    <t>Length of push (ft.):</t>
  </si>
  <si>
    <r>
      <t>heaped capacity is 44 cy (</t>
    </r>
    <r>
      <rPr>
        <i/>
        <sz val="12"/>
        <rFont val="Arial"/>
        <family val="2"/>
      </rPr>
      <t>Assumption 8</t>
    </r>
    <r>
      <rPr>
        <sz val="12"/>
        <rFont val="Arial"/>
        <family val="2"/>
      </rPr>
      <t xml:space="preserve">) </t>
    </r>
  </si>
  <si>
    <t xml:space="preserve">Scraper used in model is Model 657G.  The struck capacity of the 657G is 32 cy, while the </t>
  </si>
  <si>
    <t>657G</t>
  </si>
  <si>
    <r>
      <rPr>
        <b/>
        <sz val="12"/>
        <rFont val="Arial"/>
        <family val="2"/>
      </rPr>
      <t>Notes:</t>
    </r>
    <r>
      <rPr>
        <sz val="12"/>
        <rFont val="Arial"/>
        <family val="2"/>
      </rPr>
      <t xml:space="preserve">  Soil weight correction used is 1,512 lbs./cy (</t>
    </r>
    <r>
      <rPr>
        <i/>
        <sz val="12"/>
        <rFont val="Arial"/>
        <family val="2"/>
      </rPr>
      <t>Assumption 4</t>
    </r>
    <r>
      <rPr>
        <sz val="12"/>
        <rFont val="Arial"/>
        <family val="2"/>
      </rPr>
      <t>)</t>
    </r>
  </si>
  <si>
    <r>
      <t>determine cubic yardage (</t>
    </r>
    <r>
      <rPr>
        <i/>
        <sz val="12"/>
        <rFont val="Arial"/>
        <family val="2"/>
      </rPr>
      <t>Assumption 3</t>
    </r>
    <r>
      <rPr>
        <sz val="12"/>
        <rFont val="Arial"/>
        <family val="2"/>
      </rPr>
      <t>)</t>
    </r>
  </si>
  <si>
    <t>Reduce slopes (N. &amp; E. Highwalls at 3:1)</t>
  </si>
  <si>
    <r>
      <t>Soil weight correction assumptions used is 1,512 lbs./cy (</t>
    </r>
    <r>
      <rPr>
        <i/>
        <sz val="12"/>
        <rFont val="Arial"/>
        <family val="2"/>
      </rPr>
      <t>Assumption 4</t>
    </r>
    <r>
      <rPr>
        <sz val="12"/>
        <rFont val="Arial"/>
        <family val="2"/>
      </rPr>
      <t>)</t>
    </r>
  </si>
  <si>
    <t>Above Grade Stockpile Area on BLM</t>
  </si>
  <si>
    <t>41.58 acres in disturbance area (30.78 ac. on BLM, 10.80 ac. on CRM)</t>
  </si>
  <si>
    <t>Revegetate stockpile locations (topsoil, E1 overburden) on BLM</t>
  </si>
  <si>
    <t>D9 - Grade Disturbed Areas</t>
  </si>
  <si>
    <t>Rip Roads Outside Pit Area on BLM</t>
  </si>
  <si>
    <t>Haul distance used is 1,500 ft. calculated from ArcGIS_10 projections for average</t>
  </si>
  <si>
    <t>haul distance from soil stockpile into pit area.</t>
  </si>
  <si>
    <t>start</t>
  </si>
  <si>
    <t>compounding</t>
  </si>
  <si>
    <t>rate over 5 years</t>
  </si>
  <si>
    <t>Contractor Profit and Overhead ($0 - 1 MM))</t>
  </si>
  <si>
    <t>Reclamation or Closeout Plan Management (($0 - 1 MM)</t>
  </si>
  <si>
    <t xml:space="preserve">Engineering Redesign Fee($0 - 1 MM)) </t>
  </si>
  <si>
    <t>Contingencies ($0 - 1 MM))</t>
  </si>
  <si>
    <t>Procurement Costs ($0 - 1 MM)</t>
  </si>
  <si>
    <t>Mobilization and Demobilization ($0 -0 1 MM)</t>
  </si>
  <si>
    <t>Contract Administration</t>
  </si>
  <si>
    <t>Performance &amp; Payment Bonds</t>
  </si>
  <si>
    <t>Liability Insurance (1.5% of labor costs)</t>
  </si>
  <si>
    <t>x1.5%</t>
  </si>
  <si>
    <t>Robyn Tierney</t>
  </si>
  <si>
    <t>topsoil</t>
  </si>
  <si>
    <t>RT</t>
  </si>
  <si>
    <t>Santa Fe location adjustment for site work</t>
  </si>
  <si>
    <t>for site work (year 2014 base)</t>
  </si>
  <si>
    <t>cover  (26-4: sand &amp; clay, loose)</t>
  </si>
  <si>
    <t>Consumer Price Index - All Urban Consumers</t>
  </si>
  <si>
    <t>12-Month Percent Change</t>
  </si>
  <si>
    <t>Series Id:</t>
  </si>
  <si>
    <t>CUUR0400SA0</t>
  </si>
  <si>
    <t>Not Seasonally Adjusted</t>
  </si>
  <si>
    <t>Area:</t>
  </si>
  <si>
    <t>West urban</t>
  </si>
  <si>
    <t>Item:</t>
  </si>
  <si>
    <t>All items</t>
  </si>
  <si>
    <t>Base Period:</t>
  </si>
  <si>
    <t>1982-84=100</t>
  </si>
  <si>
    <t>Years:</t>
  </si>
  <si>
    <t>Year</t>
  </si>
  <si>
    <t>Annual</t>
  </si>
  <si>
    <r>
      <t>INDIRECT COSTS</t>
    </r>
    <r>
      <rPr>
        <b/>
        <vertAlign val="superscript"/>
        <sz val="12"/>
        <rFont val="Arial"/>
        <family val="2"/>
      </rPr>
      <t>1</t>
    </r>
  </si>
  <si>
    <t>20 year average CPI FOR ALL WESTERN CONSUMERS</t>
  </si>
  <si>
    <t xml:space="preserve">Used 500 foot length of push rather than 300 feet as per Mike Thompson's suggestion, </t>
  </si>
  <si>
    <t>RT retained grader speed of 4 mph</t>
  </si>
  <si>
    <t>existing stained overburden, topsoil</t>
  </si>
  <si>
    <t>Used 2200 cy/hr normal production as per as per Catepillar Handbook for D9. Retained 50 foot length of push</t>
  </si>
  <si>
    <t>and used production of 300 cy/hr as per Catepillar Handbook for D-9 Semi-Universal Blades, page 1-50.</t>
  </si>
  <si>
    <t>Used production of 300 cy/hr as per Catepillar Handbook for D-9 Semi-Universal Blades, page 1-50.</t>
  </si>
  <si>
    <t>RT retained scraper 657 G RE:  to note the increased cost of usage in next permit review</t>
  </si>
  <si>
    <t>Reduce slopes and backfill active pit area (BLM-East, Block E3)</t>
  </si>
  <si>
    <t>Cover pit bottom in BLM-East, Block E3 with topsoil</t>
  </si>
  <si>
    <t>Rip pit bottom except area covered by highwall reduction slopes (E3)</t>
  </si>
  <si>
    <t>Reduce Slopes, BLM (E3)</t>
  </si>
  <si>
    <t>Cover Pit Bottom, BLM (E3)</t>
  </si>
  <si>
    <t>Move topsoil stockpile into BLM (E3) Pit Area</t>
  </si>
  <si>
    <r>
      <t>N. Highwall length is 542' (</t>
    </r>
    <r>
      <rPr>
        <i/>
        <sz val="12"/>
        <rFont val="Arial"/>
        <family val="2"/>
      </rPr>
      <t>Assumption 2</t>
    </r>
    <r>
      <rPr>
        <sz val="12"/>
        <rFont val="Arial"/>
        <family val="2"/>
      </rPr>
      <t xml:space="preserve">).  </t>
    </r>
  </si>
  <si>
    <t xml:space="preserve">Topsoil stockpile volume is calculated by taking 9" of topsoil from Block E3 (14.02 ac.) to </t>
  </si>
  <si>
    <r>
      <t>(</t>
    </r>
    <r>
      <rPr>
        <i/>
        <sz val="12"/>
        <rFont val="Arial"/>
        <family val="2"/>
      </rPr>
      <t>Assumption 7</t>
    </r>
    <r>
      <rPr>
        <sz val="12"/>
        <rFont val="Arial"/>
      </rPr>
      <t>)</t>
    </r>
  </si>
  <si>
    <r>
      <t>E. Highwall length is 1,058' (Assumption 2).  The total length of the E. Highwall would be reduced by 100.5' by pushing in the N. Highwall (</t>
    </r>
    <r>
      <rPr>
        <i/>
        <sz val="12"/>
        <rFont val="Arial"/>
        <family val="2"/>
      </rPr>
      <t>Assumption 5</t>
    </r>
    <r>
      <rPr>
        <sz val="12"/>
        <rFont val="Arial"/>
        <family val="2"/>
      </rPr>
      <t>).</t>
    </r>
  </si>
  <si>
    <t>D9---Cover Pit Bottom, BLM (E3) Pit Area</t>
  </si>
  <si>
    <r>
      <t>All disturbed areas totaling 14.02 ac. will be graded (</t>
    </r>
    <r>
      <rPr>
        <i/>
        <sz val="12"/>
        <rFont val="Arial"/>
        <family val="2"/>
      </rPr>
      <t>Assumption 1</t>
    </r>
    <r>
      <rPr>
        <sz val="12"/>
        <rFont val="Arial"/>
        <family val="2"/>
      </rPr>
      <t>)</t>
    </r>
  </si>
  <si>
    <t>D9---BLM (E3)</t>
  </si>
  <si>
    <t>of uninterrupted run across mining block E3)</t>
  </si>
  <si>
    <t>657G - Move topsoil stockpile into open mining block (E3)</t>
  </si>
  <si>
    <t>D9- Reduce Slopes Pit Area, BLM (E3)</t>
  </si>
  <si>
    <t>BLM (E3) Mining Area</t>
  </si>
  <si>
    <t xml:space="preserve">RT increased unit labor cost per hour from $15.00/ hour to $17.50/hour as per Davena Crosley, 3/27/17 </t>
  </si>
  <si>
    <r>
      <rPr>
        <u/>
        <sz val="12"/>
        <rFont val="Arial"/>
        <family val="2"/>
      </rPr>
      <t>Cover pit bottom:</t>
    </r>
    <r>
      <rPr>
        <sz val="12"/>
        <rFont val="Arial"/>
        <family val="2"/>
      </rPr>
      <t xml:space="preserve">  14.02 ac. (E3) - 2.40 ac. (covered by highwall slope reduction) = 11.62 ac.</t>
    </r>
  </si>
  <si>
    <t>D9---Reduce Slopes, BLM (E3) Pit Area</t>
  </si>
  <si>
    <t>BLM (E3) Pit Area</t>
  </si>
  <si>
    <t>Recontour all disturbed areas (BLM E3 pit and remainder of stockpile)</t>
  </si>
  <si>
    <t>Rip Pit Bottom, BLM (E3) Mining Area</t>
  </si>
  <si>
    <t>length of remaining access roadway from 31-Mile Road to pit)</t>
  </si>
  <si>
    <t xml:space="preserve">Ripping length used for D9 to  rip pit bottom is 1,000' (approx. length </t>
  </si>
  <si>
    <t>1997 to 2017</t>
  </si>
  <si>
    <t>* .0213</t>
  </si>
  <si>
    <t>of 2.13% inflation</t>
  </si>
  <si>
    <t xml:space="preserve">RT 5 years; recalculated CPI and inflation over 5 years </t>
  </si>
  <si>
    <t>Cost Escalation Rate (used 2.13%)</t>
  </si>
  <si>
    <t>averaged up to 2.13</t>
  </si>
  <si>
    <t xml:space="preserve">average inflation across all consumers, 20 year average of 2.13% compounded over a 5 year period would be: </t>
  </si>
  <si>
    <t>Rip roads outside pit area (reduced length of road to 100 feet)</t>
  </si>
  <si>
    <t xml:space="preserve">Ripping length used for D9 to  rip roads outside E3 pit area is 100' (approx.  </t>
  </si>
  <si>
    <t>Demolish wooden shed housing generator and remove debris to Buckman Transfer Station</t>
  </si>
  <si>
    <t>Remove generator and 1000 gallon fuel tank, place on trailer and transport to CR Minerals Plant in Espanola</t>
  </si>
  <si>
    <t>Remove screen and move to CR Minerals Plant in Espanola</t>
  </si>
  <si>
    <t>Costs retained for Modification 19-1 by R. Tierney, 01/27/2020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</si>
  <si>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1 ton of mixed wood and construction material </t>
    </r>
  </si>
  <si>
    <t>Includes cost of loading with front-end loader and $50 tipping fee at Buckman Transfer Station (505.424.1850, extension 150)</t>
  </si>
  <si>
    <t xml:space="preserve">RT NOTE TO FILE 01/27/2020  RE:  the cost of operating a D-9 is now $267.50/hr and will increase significantly upwards in the next 5 years; </t>
  </si>
  <si>
    <t>wattle</t>
  </si>
  <si>
    <t>Per</t>
  </si>
  <si>
    <t>RT eliminated overburden time and costs (See Mod. 17-1)</t>
  </si>
  <si>
    <t>RT changed rip rap channel dam to "Installation of straw wattles" and included the cost of 150 feet of straw wattles (6 25' long wattles) with delivery to site at a cost of $30.50/wattle</t>
  </si>
  <si>
    <t>from Tab 15 Other</t>
  </si>
  <si>
    <t xml:space="preserve">Post-reclamation vegetation monitoring and reporting </t>
  </si>
  <si>
    <t>over 12 year bond period</t>
  </si>
  <si>
    <t>Liability Insurance</t>
  </si>
  <si>
    <t>RT increased labor costs by 10% from $39.85 to $43.85 and carried this increase forwards to cover labor costs 3/27/17</t>
  </si>
  <si>
    <t>Total labor cost = 84.70 hours x $43.85 =$3714.10</t>
  </si>
  <si>
    <t>Broadcast Seeder</t>
  </si>
  <si>
    <t>Rental</t>
  </si>
  <si>
    <t>Fuel</t>
  </si>
  <si>
    <t>Hrs</t>
  </si>
  <si>
    <t>Labor Overtime</t>
  </si>
  <si>
    <t>Hydro Seeder</t>
  </si>
  <si>
    <t>Seeding Equipment Total</t>
  </si>
  <si>
    <t>Seed Mix Cost</t>
  </si>
  <si>
    <t>Water Purchased</t>
  </si>
  <si>
    <t>In January 2020, R. Tierney reviewed the cost of revegetation at the Rocky Mountain Mine and used data (for an 8 acre tract and a 17 acre tract) provided by Joe Griego, Operations Manager, CR Minerals to explain the cost for revegetation on a per acre basis.  Please see below.</t>
  </si>
  <si>
    <t>Number of acres (costs from an 8 acre tract and a 17 acre tract)</t>
  </si>
  <si>
    <t>Hydromulch Cost</t>
  </si>
  <si>
    <t>Hydromulch and Seed Cost</t>
  </si>
  <si>
    <t>Pre-Revegetation Survey</t>
  </si>
  <si>
    <t>Survey to establish grade and control points</t>
  </si>
  <si>
    <t>Hydromulch and Seed Cost Total</t>
  </si>
  <si>
    <t>Pre-Revegetation Survey Total</t>
  </si>
  <si>
    <t>divided by 25 acres = $816.63/acre</t>
  </si>
  <si>
    <t>from Tab 14 Reveg</t>
  </si>
  <si>
    <t>New Mexico Energy, Minerals, and Natural Resources Department, Mining and Minerals Division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</si>
  <si>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Indirect Costs are from: </t>
    </r>
    <r>
      <rPr>
        <i/>
        <sz val="12"/>
        <rFont val="Arial"/>
        <family val="2"/>
      </rPr>
      <t>Guidance for Calculating Capital Indirect Costs for Mine Reclamation and Closure Cost Estimates.</t>
    </r>
    <r>
      <rPr>
        <sz val="12"/>
        <rFont val="Arial"/>
        <family val="2"/>
      </rPr>
      <t xml:space="preserve"> June 2019.  </t>
    </r>
  </si>
  <si>
    <t>RT corrected total to include liability insurance on all labor costs</t>
  </si>
  <si>
    <t>from Tab 13 Earth Sum</t>
  </si>
  <si>
    <t>Labor from Tab 13 Earth Sum</t>
  </si>
  <si>
    <t>Labor from Tab 14 Reveg</t>
  </si>
  <si>
    <t>RT removed first line supervisor cost here and increased indirect costs associated with revegetation and reclamation by 10%  in Tab 16 Bond Sum 3/27/17</t>
  </si>
  <si>
    <t>Change of cost/acre to $1000  by R. Tierney  cost reflects includes the cost of cost of labor, labor overtime, equipment rental, fuel, chain drag harrowing, broadcast seeding with a tractor-mounted seed box, hydromulch, water, hydroseeding, and the cost of seed.</t>
  </si>
  <si>
    <t xml:space="preserve"> Subtotal</t>
  </si>
  <si>
    <t>RT added cost of annual monitoring and reporting over 12 year bond period 1/30/2020</t>
  </si>
  <si>
    <t>hrs/12 yr bond period</t>
  </si>
  <si>
    <t>hrs/yr</t>
  </si>
  <si>
    <t xml:space="preserve">Post-reclamation fence  maintenance of one-quarter mile fence each year </t>
  </si>
  <si>
    <t xml:space="preserve">over the 12-year bond period </t>
  </si>
  <si>
    <t xml:space="preserve">Post-reclamation erosion monitoring  (1 hour) on the E-3 Unit would occur on a quarterly basis each year over the 12 year post reclamation bond period. RT 03272020 </t>
  </si>
  <si>
    <t>Installation of straw wattles crew (2 people,  16 hours) per year  in the first 8 years of the 12 year post-reclamation period) RT 03272020</t>
  </si>
  <si>
    <t>RT included installation of straw wattles 16 hours/year in the first 8 years of the 12 year post-reclamation period of the 12 year bond period 1/30/2020, changed 03272020</t>
  </si>
  <si>
    <t>Cost of 9" x 25' straw wattles for erosion control on E-3 Unit (includes delivery of 6 wattles to mine each of the first 8 years of the 12 year post-reclamation bond period) RT 03272020</t>
  </si>
  <si>
    <t>Installation of straw wattles ( 16 hours/year, in first 8 years of the 12 year bond period)</t>
  </si>
  <si>
    <t>Erosion monitoring ( 1 hour/quarter/year, 12 year bond period)</t>
  </si>
  <si>
    <t>RT decreased reclamation or closeout plan management from 10% to 6% as per conversation with MMD 03242020</t>
  </si>
  <si>
    <t>RT decreased contingencies from 20% to 10% as per conversation with MMD 03242020</t>
  </si>
  <si>
    <t>RT decreased mobilization and demobilization from 10% to 5% per conversation with MMD 03242020</t>
  </si>
  <si>
    <t>Post-reclamation vegetation monitoring and reporting on the E-3 Unit would occur two days each year over the last 6 years of the 12 year bond period.</t>
  </si>
  <si>
    <t>(24 hours/year, annual monitoring and reporting in the last 6 years of the 12 year reclamation bond period)</t>
  </si>
  <si>
    <t>RT changed cost of scraper to 258.43 as per 2017 quotes and Wagner estimate</t>
  </si>
  <si>
    <t xml:space="preserve"> Equipment costs from 2017 Caterpillar and MMD engineers (See Mod 17-1)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</si>
</sst>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_)"/>
    <numFmt numFmtId="165" formatCode="0.0%"/>
    <numFmt numFmtId="166" formatCode="0.00_)"/>
    <numFmt numFmtId="167" formatCode="0.0_)"/>
    <numFmt numFmtId="168" formatCode="0_)"/>
    <numFmt numFmtId="169" formatCode="#,##0.0_);\(#,##0.0\)"/>
    <numFmt numFmtId="170" formatCode="mmm\-yy_)"/>
    <numFmt numFmtId="171" formatCode="0.00;[Red]0.00"/>
    <numFmt numFmtId="172" formatCode="#,##0.00;[Red]#,##0.00"/>
    <numFmt numFmtId="173" formatCode="0.0"/>
    <numFmt numFmtId="174" formatCode="0.000"/>
  </numFmts>
  <fonts count="19" x14ac:knownFonts="1">
    <font>
      <sz val="12"/>
      <name val="Arial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</font>
    <font>
      <sz val="10"/>
      <color rgb="FF333333"/>
      <name val="Arial"/>
      <family val="2"/>
    </font>
    <font>
      <sz val="12"/>
      <name val="Calibri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9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 style="double">
        <color indexed="8"/>
      </bottom>
      <diagonal/>
    </border>
    <border>
      <left/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/>
      <bottom style="double">
        <color indexed="8"/>
      </bottom>
      <diagonal/>
    </border>
    <border>
      <left/>
      <right style="thin">
        <color theme="1"/>
      </right>
      <top/>
      <bottom style="double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EEEEEE"/>
      </left>
      <right/>
      <top style="medium">
        <color rgb="FFEEEEEE"/>
      </top>
      <bottom/>
      <diagonal/>
    </border>
    <border>
      <left/>
      <right style="medium">
        <color rgb="FFEEEEEE"/>
      </right>
      <top style="medium">
        <color rgb="FFDDDDDD"/>
      </top>
      <bottom/>
      <diagonal/>
    </border>
    <border>
      <left/>
      <right style="medium">
        <color rgb="FFEEEEEE"/>
      </right>
      <top style="medium">
        <color rgb="FFDDDDDD"/>
      </top>
      <bottom style="medium">
        <color rgb="FFEEEEEE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4" fontId="18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Protection="1"/>
    <xf numFmtId="0" fontId="1" fillId="0" borderId="0" xfId="0" applyFont="1" applyProtection="1"/>
    <xf numFmtId="0" fontId="0" fillId="3" borderId="1" xfId="0" applyFill="1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horizontal="center"/>
    </xf>
    <xf numFmtId="0" fontId="0" fillId="3" borderId="4" xfId="0" applyFill="1" applyBorder="1" applyProtection="1"/>
    <xf numFmtId="0" fontId="2" fillId="2" borderId="0" xfId="0" applyFont="1" applyFill="1" applyAlignment="1" applyProtection="1">
      <alignment horizontal="right"/>
    </xf>
    <xf numFmtId="0" fontId="0" fillId="0" borderId="5" xfId="0" applyBorder="1" applyProtection="1"/>
    <xf numFmtId="0" fontId="3" fillId="2" borderId="0" xfId="0" applyFont="1" applyFill="1" applyAlignment="1" applyProtection="1">
      <alignment horizontal="right"/>
    </xf>
    <xf numFmtId="5" fontId="0" fillId="0" borderId="0" xfId="0" applyNumberFormat="1" applyProtection="1"/>
    <xf numFmtId="0" fontId="3" fillId="3" borderId="6" xfId="0" applyFont="1" applyFill="1" applyBorder="1" applyProtection="1"/>
    <xf numFmtId="0" fontId="1" fillId="0" borderId="8" xfId="0" applyFont="1" applyBorder="1" applyProtection="1"/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3" fillId="0" borderId="0" xfId="0" applyFont="1" applyProtection="1"/>
    <xf numFmtId="0" fontId="0" fillId="0" borderId="0" xfId="0" applyAlignment="1">
      <alignment horizontal="right"/>
    </xf>
    <xf numFmtId="0" fontId="1" fillId="0" borderId="0" xfId="0" applyFont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5" fontId="3" fillId="3" borderId="8" xfId="0" applyNumberFormat="1" applyFont="1" applyFill="1" applyBorder="1" applyProtection="1"/>
    <xf numFmtId="0" fontId="0" fillId="0" borderId="0" xfId="0" applyAlignment="1">
      <alignment horizontal="center"/>
    </xf>
    <xf numFmtId="0" fontId="1" fillId="0" borderId="7" xfId="0" applyFont="1" applyBorder="1"/>
    <xf numFmtId="0" fontId="3" fillId="0" borderId="0" xfId="0" applyFont="1"/>
    <xf numFmtId="5" fontId="3" fillId="0" borderId="0" xfId="0" applyNumberFormat="1" applyFont="1" applyProtection="1"/>
    <xf numFmtId="0" fontId="0" fillId="0" borderId="0" xfId="0" applyAlignment="1" applyProtection="1">
      <alignment horizontal="center"/>
    </xf>
    <xf numFmtId="0" fontId="0" fillId="0" borderId="7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3" fillId="3" borderId="1" xfId="0" applyFont="1" applyFill="1" applyBorder="1" applyAlignment="1" applyProtection="1">
      <alignment horizontal="right"/>
    </xf>
    <xf numFmtId="37" fontId="3" fillId="3" borderId="2" xfId="0" applyNumberFormat="1" applyFont="1" applyFill="1" applyBorder="1" applyProtection="1"/>
    <xf numFmtId="0" fontId="3" fillId="3" borderId="2" xfId="0" applyFont="1" applyFill="1" applyBorder="1" applyProtection="1"/>
    <xf numFmtId="0" fontId="3" fillId="3" borderId="2" xfId="0" applyFont="1" applyFill="1" applyBorder="1" applyAlignment="1" applyProtection="1">
      <alignment horizontal="right"/>
    </xf>
    <xf numFmtId="0" fontId="3" fillId="3" borderId="3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3" fillId="3" borderId="7" xfId="0" applyFont="1" applyFill="1" applyBorder="1" applyAlignment="1" applyProtection="1">
      <alignment horizontal="right"/>
    </xf>
    <xf numFmtId="37" fontId="3" fillId="3" borderId="7" xfId="0" applyNumberFormat="1" applyFont="1" applyFill="1" applyBorder="1" applyProtection="1"/>
    <xf numFmtId="0" fontId="3" fillId="3" borderId="8" xfId="0" applyFont="1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166" fontId="0" fillId="3" borderId="0" xfId="0" applyNumberFormat="1" applyFill="1" applyProtection="1"/>
    <xf numFmtId="0" fontId="0" fillId="3" borderId="0" xfId="0" applyFill="1" applyProtection="1"/>
    <xf numFmtId="166" fontId="3" fillId="3" borderId="7" xfId="0" applyNumberFormat="1" applyFont="1" applyFill="1" applyBorder="1" applyProtection="1"/>
    <xf numFmtId="0" fontId="0" fillId="3" borderId="5" xfId="0" applyFill="1" applyBorder="1" applyProtection="1"/>
    <xf numFmtId="168" fontId="0" fillId="3" borderId="5" xfId="0" applyNumberFormat="1" applyFill="1" applyBorder="1" applyProtection="1"/>
    <xf numFmtId="0" fontId="3" fillId="3" borderId="1" xfId="0" applyFont="1" applyFill="1" applyBorder="1" applyProtection="1"/>
    <xf numFmtId="169" fontId="3" fillId="3" borderId="2" xfId="0" applyNumberFormat="1" applyFont="1" applyFill="1" applyBorder="1" applyProtection="1"/>
    <xf numFmtId="0" fontId="3" fillId="3" borderId="7" xfId="0" applyFont="1" applyFill="1" applyBorder="1" applyProtection="1"/>
    <xf numFmtId="0" fontId="3" fillId="3" borderId="10" xfId="0" applyFont="1" applyFill="1" applyBorder="1" applyProtection="1"/>
    <xf numFmtId="0" fontId="3" fillId="3" borderId="11" xfId="0" applyFont="1" applyFill="1" applyBorder="1" applyProtection="1"/>
    <xf numFmtId="166" fontId="0" fillId="3" borderId="5" xfId="0" applyNumberFormat="1" applyFill="1" applyBorder="1" applyProtection="1"/>
    <xf numFmtId="0" fontId="3" fillId="3" borderId="4" xfId="0" applyFont="1" applyFill="1" applyBorder="1" applyAlignment="1" applyProtection="1">
      <alignment horizontal="right"/>
    </xf>
    <xf numFmtId="167" fontId="3" fillId="3" borderId="0" xfId="0" applyNumberFormat="1" applyFont="1" applyFill="1" applyProtection="1"/>
    <xf numFmtId="0" fontId="3" fillId="3" borderId="0" xfId="0" applyFont="1" applyFill="1" applyProtection="1"/>
    <xf numFmtId="37" fontId="3" fillId="3" borderId="0" xfId="0" applyNumberFormat="1" applyFont="1" applyFill="1" applyProtection="1"/>
    <xf numFmtId="0" fontId="3" fillId="3" borderId="5" xfId="0" applyFont="1" applyFill="1" applyBorder="1" applyProtection="1"/>
    <xf numFmtId="0" fontId="3" fillId="3" borderId="6" xfId="0" applyFont="1" applyFill="1" applyBorder="1" applyAlignment="1" applyProtection="1">
      <alignment horizontal="right"/>
    </xf>
    <xf numFmtId="39" fontId="0" fillId="3" borderId="0" xfId="0" applyNumberFormat="1" applyFill="1" applyProtection="1"/>
    <xf numFmtId="168" fontId="0" fillId="3" borderId="7" xfId="0" applyNumberFormat="1" applyFill="1" applyBorder="1" applyProtection="1"/>
    <xf numFmtId="168" fontId="0" fillId="3" borderId="8" xfId="0" applyNumberFormat="1" applyFill="1" applyBorder="1" applyProtection="1"/>
    <xf numFmtId="0" fontId="2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5" fontId="2" fillId="0" borderId="0" xfId="0" applyNumberFormat="1" applyFont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167" fontId="3" fillId="3" borderId="7" xfId="0" applyNumberFormat="1" applyFont="1" applyFill="1" applyBorder="1" applyProtection="1"/>
    <xf numFmtId="0" fontId="2" fillId="3" borderId="9" xfId="0" applyFont="1" applyFill="1" applyBorder="1" applyProtection="1"/>
    <xf numFmtId="0" fontId="2" fillId="3" borderId="10" xfId="0" applyFont="1" applyFill="1" applyBorder="1" applyProtection="1"/>
    <xf numFmtId="0" fontId="2" fillId="3" borderId="4" xfId="0" applyFont="1" applyFill="1" applyBorder="1" applyProtection="1"/>
    <xf numFmtId="167" fontId="2" fillId="3" borderId="0" xfId="0" applyNumberFormat="1" applyFont="1" applyFill="1" applyProtection="1"/>
    <xf numFmtId="0" fontId="2" fillId="3" borderId="0" xfId="0" applyFont="1" applyFill="1" applyProtection="1"/>
    <xf numFmtId="168" fontId="2" fillId="3" borderId="5" xfId="0" applyNumberFormat="1" applyFont="1" applyFill="1" applyBorder="1" applyProtection="1"/>
    <xf numFmtId="0" fontId="2" fillId="3" borderId="5" xfId="0" applyFont="1" applyFill="1" applyBorder="1" applyProtection="1"/>
    <xf numFmtId="168" fontId="2" fillId="3" borderId="0" xfId="0" applyNumberFormat="1" applyFont="1" applyFill="1" applyProtection="1"/>
    <xf numFmtId="0" fontId="2" fillId="3" borderId="4" xfId="0" applyFont="1" applyFill="1" applyBorder="1" applyAlignment="1" applyProtection="1">
      <alignment horizontal="left"/>
    </xf>
    <xf numFmtId="37" fontId="2" fillId="3" borderId="0" xfId="0" applyNumberFormat="1" applyFont="1" applyFill="1" applyProtection="1"/>
    <xf numFmtId="0" fontId="2" fillId="3" borderId="6" xfId="0" applyFont="1" applyFill="1" applyBorder="1" applyProtection="1"/>
    <xf numFmtId="167" fontId="2" fillId="3" borderId="7" xfId="0" applyNumberFormat="1" applyFont="1" applyFill="1" applyBorder="1" applyProtection="1"/>
    <xf numFmtId="0" fontId="2" fillId="3" borderId="7" xfId="0" applyFont="1" applyFill="1" applyBorder="1" applyProtection="1"/>
    <xf numFmtId="166" fontId="2" fillId="3" borderId="7" xfId="0" applyNumberFormat="1" applyFont="1" applyFill="1" applyBorder="1" applyProtection="1"/>
    <xf numFmtId="0" fontId="2" fillId="3" borderId="8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4" xfId="0" applyFont="1" applyBorder="1" applyProtection="1"/>
    <xf numFmtId="0" fontId="3" fillId="3" borderId="13" xfId="0" applyFont="1" applyFill="1" applyBorder="1" applyProtection="1"/>
    <xf numFmtId="5" fontId="3" fillId="3" borderId="14" xfId="0" applyNumberFormat="1" applyFont="1" applyFill="1" applyBorder="1" applyProtection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 applyProtection="1">
      <alignment horizontal="right"/>
    </xf>
    <xf numFmtId="0" fontId="1" fillId="2" borderId="0" xfId="0" applyFont="1" applyFill="1"/>
    <xf numFmtId="170" fontId="0" fillId="0" borderId="0" xfId="0" applyNumberFormat="1" applyProtection="1"/>
    <xf numFmtId="0" fontId="3" fillId="3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0" fontId="2" fillId="3" borderId="2" xfId="0" applyFont="1" applyFill="1" applyBorder="1"/>
    <xf numFmtId="0" fontId="2" fillId="0" borderId="0" xfId="0" applyFont="1" applyAlignment="1">
      <alignment horizontal="center"/>
    </xf>
    <xf numFmtId="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Continuous"/>
    </xf>
    <xf numFmtId="37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/>
    <xf numFmtId="172" fontId="3" fillId="3" borderId="2" xfId="0" applyNumberFormat="1" applyFont="1" applyFill="1" applyBorder="1" applyProtection="1"/>
    <xf numFmtId="39" fontId="3" fillId="3" borderId="2" xfId="0" applyNumberFormat="1" applyFont="1" applyFill="1" applyBorder="1" applyProtection="1"/>
    <xf numFmtId="0" fontId="2" fillId="0" borderId="0" xfId="0" applyFont="1" applyBorder="1" applyAlignment="1" applyProtection="1">
      <alignment horizontal="left"/>
    </xf>
    <xf numFmtId="0" fontId="3" fillId="0" borderId="16" xfId="0" applyFont="1" applyBorder="1" applyProtection="1"/>
    <xf numFmtId="0" fontId="2" fillId="0" borderId="17" xfId="0" applyFont="1" applyBorder="1" applyProtection="1"/>
    <xf numFmtId="0" fontId="3" fillId="0" borderId="19" xfId="0" applyFont="1" applyBorder="1" applyProtection="1"/>
    <xf numFmtId="0" fontId="2" fillId="0" borderId="19" xfId="0" applyFont="1" applyBorder="1" applyProtection="1"/>
    <xf numFmtId="0" fontId="2" fillId="0" borderId="18" xfId="0" applyFont="1" applyBorder="1" applyAlignment="1" applyProtection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0" xfId="0" applyFont="1" applyBorder="1" applyAlignment="1" applyProtection="1">
      <alignment horizontal="center"/>
    </xf>
    <xf numFmtId="0" fontId="2" fillId="0" borderId="23" xfId="0" applyFont="1" applyBorder="1" applyProtection="1"/>
    <xf numFmtId="0" fontId="2" fillId="0" borderId="1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2" xfId="0" applyFont="1" applyFill="1" applyBorder="1" applyProtection="1"/>
    <xf numFmtId="0" fontId="3" fillId="3" borderId="28" xfId="0" applyFont="1" applyFill="1" applyBorder="1" applyProtection="1"/>
    <xf numFmtId="0" fontId="2" fillId="0" borderId="17" xfId="0" applyFont="1" applyBorder="1"/>
    <xf numFmtId="0" fontId="2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8" fillId="0" borderId="0" xfId="0" applyFont="1"/>
    <xf numFmtId="37" fontId="3" fillId="0" borderId="0" xfId="0" applyNumberFormat="1" applyFont="1" applyAlignment="1" applyProtection="1">
      <alignment horizontal="center"/>
    </xf>
    <xf numFmtId="0" fontId="2" fillId="0" borderId="0" xfId="0" applyFont="1" applyFill="1"/>
    <xf numFmtId="0" fontId="2" fillId="0" borderId="4" xfId="0" applyFont="1" applyBorder="1" applyProtection="1"/>
    <xf numFmtId="0" fontId="2" fillId="0" borderId="0" xfId="0" applyFont="1" applyBorder="1" applyProtection="1"/>
    <xf numFmtId="169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0" fontId="3" fillId="0" borderId="21" xfId="0" applyFont="1" applyBorder="1" applyProtection="1"/>
    <xf numFmtId="37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left"/>
    </xf>
    <xf numFmtId="0" fontId="0" fillId="4" borderId="0" xfId="0" applyFill="1"/>
    <xf numFmtId="0" fontId="2" fillId="0" borderId="0" xfId="1" applyFont="1"/>
    <xf numFmtId="0" fontId="2" fillId="4" borderId="0" xfId="0" applyFont="1" applyFill="1"/>
    <xf numFmtId="164" fontId="2" fillId="4" borderId="0" xfId="0" applyNumberFormat="1" applyFont="1" applyFill="1" applyAlignment="1" applyProtection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 applyProtection="1">
      <alignment horizontal="centerContinuous"/>
    </xf>
    <xf numFmtId="0" fontId="2" fillId="4" borderId="0" xfId="0" applyFont="1" applyFill="1" applyAlignment="1" applyProtection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right"/>
    </xf>
    <xf numFmtId="0" fontId="11" fillId="0" borderId="3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164" fontId="2" fillId="0" borderId="0" xfId="0" applyNumberFormat="1" applyFont="1" applyAlignment="1" applyProtection="1">
      <alignment horizontal="centerContinuous"/>
    </xf>
    <xf numFmtId="164" fontId="2" fillId="0" borderId="0" xfId="0" applyNumberFormat="1" applyFont="1" applyProtection="1"/>
    <xf numFmtId="0" fontId="2" fillId="3" borderId="0" xfId="0" applyFont="1" applyFill="1"/>
    <xf numFmtId="5" fontId="2" fillId="3" borderId="5" xfId="0" applyNumberFormat="1" applyFont="1" applyFill="1" applyBorder="1" applyProtection="1"/>
    <xf numFmtId="0" fontId="2" fillId="3" borderId="7" xfId="0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39" fontId="2" fillId="0" borderId="0" xfId="0" applyNumberFormat="1" applyFont="1" applyProtection="1"/>
    <xf numFmtId="37" fontId="2" fillId="0" borderId="0" xfId="0" applyNumberFormat="1" applyFont="1" applyProtection="1"/>
    <xf numFmtId="37" fontId="2" fillId="0" borderId="0" xfId="0" applyNumberFormat="1" applyFont="1" applyAlignment="1" applyProtection="1">
      <alignment horizontal="right"/>
    </xf>
    <xf numFmtId="165" fontId="2" fillId="4" borderId="0" xfId="0" applyNumberFormat="1" applyFont="1" applyFill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Border="1" applyProtection="1"/>
    <xf numFmtId="0" fontId="2" fillId="0" borderId="4" xfId="0" applyFont="1" applyBorder="1"/>
    <xf numFmtId="0" fontId="2" fillId="3" borderId="11" xfId="0" applyFont="1" applyFill="1" applyBorder="1" applyProtection="1"/>
    <xf numFmtId="166" fontId="2" fillId="3" borderId="0" xfId="0" applyNumberFormat="1" applyFont="1" applyFill="1" applyBorder="1" applyProtection="1"/>
    <xf numFmtId="0" fontId="2" fillId="3" borderId="0" xfId="0" applyFont="1" applyFill="1" applyBorder="1" applyProtection="1"/>
    <xf numFmtId="166" fontId="2" fillId="0" borderId="0" xfId="0" applyNumberFormat="1" applyFont="1" applyBorder="1" applyProtection="1"/>
    <xf numFmtId="168" fontId="2" fillId="0" borderId="0" xfId="0" applyNumberFormat="1" applyFont="1" applyBorder="1" applyProtection="1"/>
    <xf numFmtId="168" fontId="2" fillId="0" borderId="5" xfId="0" applyNumberFormat="1" applyFont="1" applyBorder="1" applyProtection="1"/>
    <xf numFmtId="168" fontId="2" fillId="3" borderId="0" xfId="0" applyNumberFormat="1" applyFont="1" applyFill="1" applyBorder="1" applyProtection="1"/>
    <xf numFmtId="37" fontId="2" fillId="3" borderId="7" xfId="0" applyNumberFormat="1" applyFont="1" applyFill="1" applyBorder="1" applyProtection="1"/>
    <xf numFmtId="166" fontId="2" fillId="0" borderId="7" xfId="0" applyNumberFormat="1" applyFont="1" applyBorder="1" applyProtection="1"/>
    <xf numFmtId="0" fontId="2" fillId="0" borderId="18" xfId="0" applyFont="1" applyBorder="1"/>
    <xf numFmtId="0" fontId="2" fillId="3" borderId="27" xfId="0" applyFont="1" applyFill="1" applyBorder="1" applyProtection="1"/>
    <xf numFmtId="0" fontId="2" fillId="3" borderId="29" xfId="0" applyFont="1" applyFill="1" applyBorder="1" applyAlignment="1" applyProtection="1">
      <alignment horizontal="left"/>
    </xf>
    <xf numFmtId="0" fontId="2" fillId="3" borderId="30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168" fontId="2" fillId="3" borderId="20" xfId="0" applyNumberFormat="1" applyFont="1" applyFill="1" applyBorder="1" applyProtection="1"/>
    <xf numFmtId="169" fontId="2" fillId="3" borderId="0" xfId="0" applyNumberFormat="1" applyFont="1" applyFill="1" applyBorder="1" applyProtection="1"/>
    <xf numFmtId="0" fontId="2" fillId="3" borderId="25" xfId="0" applyFont="1" applyFill="1" applyBorder="1" applyProtection="1"/>
    <xf numFmtId="37" fontId="2" fillId="3" borderId="15" xfId="0" applyNumberFormat="1" applyFont="1" applyFill="1" applyBorder="1" applyProtection="1"/>
    <xf numFmtId="0" fontId="2" fillId="3" borderId="15" xfId="0" applyFont="1" applyFill="1" applyBorder="1" applyProtection="1"/>
    <xf numFmtId="0" fontId="2" fillId="3" borderId="26" xfId="0" applyFont="1" applyFill="1" applyBorder="1" applyProtection="1"/>
    <xf numFmtId="37" fontId="2" fillId="3" borderId="0" xfId="0" applyNumberFormat="1" applyFont="1" applyFill="1" applyBorder="1" applyProtection="1"/>
    <xf numFmtId="166" fontId="2" fillId="3" borderId="5" xfId="0" applyNumberFormat="1" applyFont="1" applyFill="1" applyBorder="1" applyProtection="1"/>
    <xf numFmtId="167" fontId="2" fillId="3" borderId="0" xfId="0" applyNumberFormat="1" applyFont="1" applyFill="1" applyBorder="1" applyProtection="1"/>
    <xf numFmtId="0" fontId="2" fillId="0" borderId="0" xfId="0" applyFont="1" applyAlignment="1" applyProtection="1">
      <alignment horizontal="right" vertical="center"/>
    </xf>
    <xf numFmtId="0" fontId="2" fillId="0" borderId="25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26" xfId="0" applyFont="1" applyBorder="1" applyProtection="1"/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166" fontId="2" fillId="0" borderId="0" xfId="0" applyNumberFormat="1" applyFont="1" applyProtection="1"/>
    <xf numFmtId="169" fontId="2" fillId="0" borderId="0" xfId="0" applyNumberFormat="1" applyFont="1" applyAlignment="1" applyProtection="1">
      <alignment horizontal="center"/>
    </xf>
    <xf numFmtId="169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Alignment="1" applyProtection="1">
      <alignment horizontal="right"/>
    </xf>
    <xf numFmtId="39" fontId="2" fillId="0" borderId="0" xfId="0" applyNumberFormat="1" applyFont="1" applyAlignment="1" applyProtection="1">
      <alignment horizontal="center"/>
    </xf>
    <xf numFmtId="165" fontId="2" fillId="5" borderId="3" xfId="0" applyNumberFormat="1" applyFont="1" applyFill="1" applyBorder="1" applyProtection="1"/>
    <xf numFmtId="0" fontId="2" fillId="0" borderId="7" xfId="0" applyFont="1" applyBorder="1" applyAlignment="1" applyProtection="1">
      <alignment horizontal="right"/>
    </xf>
    <xf numFmtId="171" fontId="2" fillId="0" borderId="0" xfId="0" applyNumberFormat="1" applyFont="1" applyProtection="1"/>
    <xf numFmtId="9" fontId="2" fillId="0" borderId="0" xfId="0" applyNumberFormat="1" applyFont="1" applyProtection="1"/>
    <xf numFmtId="171" fontId="2" fillId="0" borderId="0" xfId="0" applyNumberFormat="1" applyFont="1"/>
    <xf numFmtId="171" fontId="2" fillId="0" borderId="2" xfId="0" applyNumberFormat="1" applyFont="1" applyBorder="1" applyProtection="1"/>
    <xf numFmtId="5" fontId="2" fillId="0" borderId="2" xfId="0" applyNumberFormat="1" applyFont="1" applyBorder="1" applyProtection="1"/>
    <xf numFmtId="0" fontId="2" fillId="4" borderId="0" xfId="0" applyFont="1" applyFill="1" applyProtection="1"/>
    <xf numFmtId="0" fontId="2" fillId="2" borderId="0" xfId="0" applyFont="1" applyFill="1"/>
    <xf numFmtId="0" fontId="2" fillId="2" borderId="32" xfId="0" applyFont="1" applyFill="1" applyBorder="1"/>
    <xf numFmtId="0" fontId="2" fillId="0" borderId="32" xfId="0" applyFont="1" applyBorder="1"/>
    <xf numFmtId="0" fontId="3" fillId="3" borderId="32" xfId="1" applyFont="1" applyFill="1" applyBorder="1"/>
    <xf numFmtId="0" fontId="2" fillId="3" borderId="32" xfId="1" applyFont="1" applyFill="1" applyBorder="1"/>
    <xf numFmtId="5" fontId="2" fillId="3" borderId="32" xfId="1" applyNumberFormat="1" applyFont="1" applyFill="1" applyBorder="1" applyAlignment="1" applyProtection="1">
      <alignment horizontal="right"/>
    </xf>
    <xf numFmtId="0" fontId="2" fillId="4" borderId="32" xfId="0" applyFont="1" applyFill="1" applyBorder="1"/>
    <xf numFmtId="5" fontId="2" fillId="3" borderId="32" xfId="1" applyNumberFormat="1" applyFont="1" applyFill="1" applyBorder="1" applyProtection="1"/>
    <xf numFmtId="9" fontId="2" fillId="3" borderId="32" xfId="1" applyNumberFormat="1" applyFont="1" applyFill="1" applyBorder="1" applyProtection="1"/>
    <xf numFmtId="7" fontId="2" fillId="3" borderId="32" xfId="1" applyNumberFormat="1" applyFont="1" applyFill="1" applyBorder="1" applyProtection="1"/>
    <xf numFmtId="4" fontId="2" fillId="0" borderId="32" xfId="0" applyNumberFormat="1" applyFont="1" applyBorder="1"/>
    <xf numFmtId="0" fontId="2" fillId="0" borderId="32" xfId="0" applyFont="1" applyBorder="1" applyAlignment="1">
      <alignment horizontal="center"/>
    </xf>
    <xf numFmtId="0" fontId="3" fillId="3" borderId="32" xfId="1" applyFont="1" applyFill="1" applyBorder="1" applyAlignment="1">
      <alignment horizontal="right"/>
    </xf>
    <xf numFmtId="5" fontId="3" fillId="3" borderId="32" xfId="1" applyNumberFormat="1" applyFont="1" applyFill="1" applyBorder="1" applyAlignment="1" applyProtection="1">
      <alignment horizontal="right" wrapText="1"/>
    </xf>
    <xf numFmtId="168" fontId="2" fillId="3" borderId="32" xfId="1" applyNumberFormat="1" applyFont="1" applyFill="1" applyBorder="1" applyAlignment="1" applyProtection="1">
      <alignment horizontal="center"/>
    </xf>
    <xf numFmtId="173" fontId="2" fillId="3" borderId="32" xfId="1" applyNumberFormat="1" applyFont="1" applyFill="1" applyBorder="1" applyAlignment="1" applyProtection="1">
      <alignment horizontal="center"/>
    </xf>
    <xf numFmtId="5" fontId="3" fillId="3" borderId="32" xfId="1" applyNumberFormat="1" applyFont="1" applyFill="1" applyBorder="1" applyProtection="1"/>
    <xf numFmtId="7" fontId="2" fillId="0" borderId="32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2" fillId="3" borderId="32" xfId="1" applyNumberFormat="1" applyFont="1" applyFill="1" applyBorder="1" applyProtection="1"/>
    <xf numFmtId="5" fontId="2" fillId="0" borderId="32" xfId="0" applyNumberFormat="1" applyFont="1" applyBorder="1"/>
    <xf numFmtId="174" fontId="2" fillId="3" borderId="32" xfId="1" applyNumberFormat="1" applyFont="1" applyFill="1" applyBorder="1" applyProtection="1"/>
    <xf numFmtId="165" fontId="2" fillId="3" borderId="32" xfId="1" applyNumberFormat="1" applyFont="1" applyFill="1" applyBorder="1" applyProtection="1"/>
    <xf numFmtId="0" fontId="1" fillId="0" borderId="32" xfId="0" applyFont="1" applyBorder="1"/>
    <xf numFmtId="37" fontId="2" fillId="0" borderId="0" xfId="0" applyNumberFormat="1" applyFont="1"/>
    <xf numFmtId="166" fontId="2" fillId="4" borderId="0" xfId="0" applyNumberFormat="1" applyFont="1" applyFill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center"/>
    </xf>
    <xf numFmtId="169" fontId="2" fillId="0" borderId="0" xfId="0" applyNumberFormat="1" applyFont="1"/>
    <xf numFmtId="3" fontId="2" fillId="0" borderId="32" xfId="0" applyNumberFormat="1" applyFont="1" applyBorder="1" applyAlignment="1">
      <alignment horizontal="center"/>
    </xf>
    <xf numFmtId="164" fontId="0" fillId="4" borderId="0" xfId="0" applyNumberFormat="1" applyFill="1" applyProtection="1"/>
    <xf numFmtId="5" fontId="2" fillId="0" borderId="0" xfId="0" applyNumberFormat="1" applyFont="1"/>
    <xf numFmtId="37" fontId="2" fillId="0" borderId="0" xfId="0" applyNumberFormat="1" applyFont="1" applyFill="1" applyAlignment="1" applyProtection="1">
      <alignment horizontal="right"/>
    </xf>
    <xf numFmtId="0" fontId="0" fillId="0" borderId="0" xfId="0"/>
    <xf numFmtId="7" fontId="2" fillId="4" borderId="0" xfId="0" applyNumberFormat="1" applyFont="1" applyFill="1"/>
    <xf numFmtId="5" fontId="3" fillId="4" borderId="7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0" fontId="15" fillId="0" borderId="0" xfId="0" applyFont="1"/>
    <xf numFmtId="166" fontId="2" fillId="4" borderId="32" xfId="0" applyNumberFormat="1" applyFont="1" applyFill="1" applyBorder="1" applyAlignment="1" applyProtection="1"/>
    <xf numFmtId="169" fontId="2" fillId="4" borderId="32" xfId="0" applyNumberFormat="1" applyFont="1" applyFill="1" applyBorder="1" applyAlignment="1" applyProtection="1"/>
    <xf numFmtId="0" fontId="2" fillId="4" borderId="32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37" fontId="0" fillId="0" borderId="0" xfId="0" applyNumberFormat="1" applyFill="1" applyAlignment="1" applyProtection="1">
      <alignment horizontal="center"/>
    </xf>
    <xf numFmtId="0" fontId="4" fillId="0" borderId="0" xfId="0" applyFont="1"/>
    <xf numFmtId="0" fontId="16" fillId="7" borderId="33" xfId="0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horizontal="left" vertical="top" wrapText="1"/>
    </xf>
    <xf numFmtId="0" fontId="16" fillId="8" borderId="35" xfId="0" applyFont="1" applyFill="1" applyBorder="1" applyAlignment="1">
      <alignment horizontal="left" vertical="top" wrapText="1"/>
    </xf>
    <xf numFmtId="0" fontId="16" fillId="6" borderId="33" xfId="0" applyFont="1" applyFill="1" applyBorder="1" applyAlignment="1">
      <alignment horizontal="left" vertical="top" wrapText="1"/>
    </xf>
    <xf numFmtId="0" fontId="16" fillId="7" borderId="34" xfId="0" applyFont="1" applyFill="1" applyBorder="1" applyAlignment="1">
      <alignment horizontal="left" vertical="top" wrapText="1"/>
    </xf>
    <xf numFmtId="0" fontId="16" fillId="6" borderId="35" xfId="0" applyFont="1" applyFill="1" applyBorder="1" applyAlignment="1">
      <alignment horizontal="left" vertical="top" wrapText="1"/>
    </xf>
    <xf numFmtId="0" fontId="2" fillId="0" borderId="32" xfId="0" applyFont="1" applyFill="1" applyBorder="1"/>
    <xf numFmtId="10" fontId="2" fillId="0" borderId="0" xfId="0" applyNumberFormat="1" applyFont="1"/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173" fontId="2" fillId="4" borderId="32" xfId="0" applyNumberFormat="1" applyFont="1" applyFill="1" applyBorder="1"/>
    <xf numFmtId="0" fontId="2" fillId="0" borderId="0" xfId="0" applyFont="1" applyAlignment="1" applyProtection="1">
      <alignment wrapText="1"/>
    </xf>
    <xf numFmtId="3" fontId="2" fillId="4" borderId="32" xfId="0" applyNumberFormat="1" applyFont="1" applyFill="1" applyBorder="1"/>
    <xf numFmtId="0" fontId="2" fillId="0" borderId="0" xfId="0" applyFont="1" applyBorder="1" applyAlignment="1" applyProtection="1">
      <alignment wrapText="1"/>
    </xf>
    <xf numFmtId="6" fontId="2" fillId="0" borderId="0" xfId="0" applyNumberFormat="1" applyFont="1"/>
    <xf numFmtId="0" fontId="2" fillId="0" borderId="36" xfId="0" applyFont="1" applyFill="1" applyBorder="1"/>
    <xf numFmtId="44" fontId="2" fillId="0" borderId="38" xfId="3" applyFont="1" applyFill="1" applyBorder="1"/>
    <xf numFmtId="0" fontId="2" fillId="0" borderId="38" xfId="0" applyFont="1" applyFill="1" applyBorder="1"/>
    <xf numFmtId="0" fontId="2" fillId="0" borderId="37" xfId="0" applyFont="1" applyFill="1" applyBorder="1"/>
    <xf numFmtId="8" fontId="2" fillId="0" borderId="0" xfId="0" applyNumberFormat="1" applyFont="1" applyFill="1" applyBorder="1"/>
    <xf numFmtId="8" fontId="2" fillId="0" borderId="0" xfId="0" applyNumberFormat="1" applyFont="1"/>
    <xf numFmtId="44" fontId="2" fillId="0" borderId="0" xfId="0" applyNumberFormat="1" applyFont="1" applyFill="1"/>
    <xf numFmtId="0" fontId="3" fillId="0" borderId="36" xfId="0" applyFont="1" applyFill="1" applyBorder="1"/>
    <xf numFmtId="0" fontId="3" fillId="0" borderId="36" xfId="0" applyFont="1" applyFill="1" applyBorder="1" applyAlignment="1">
      <alignment horizontal="right"/>
    </xf>
    <xf numFmtId="44" fontId="3" fillId="0" borderId="0" xfId="0" applyNumberFormat="1" applyFont="1" applyFill="1"/>
    <xf numFmtId="0" fontId="3" fillId="0" borderId="0" xfId="0" applyFont="1" applyAlignment="1">
      <alignment horizontal="right"/>
    </xf>
    <xf numFmtId="0" fontId="2" fillId="0" borderId="36" xfId="0" applyFont="1" applyFill="1" applyBorder="1" applyAlignment="1">
      <alignment wrapText="1"/>
    </xf>
    <xf numFmtId="0" fontId="3" fillId="0" borderId="0" xfId="0" applyFont="1" applyAlignment="1" applyProtection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</xf>
    <xf numFmtId="8" fontId="3" fillId="0" borderId="0" xfId="0" applyNumberFormat="1" applyFont="1"/>
    <xf numFmtId="0" fontId="2" fillId="0" borderId="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7" fontId="2" fillId="4" borderId="32" xfId="0" applyNumberFormat="1" applyFont="1" applyFill="1" applyBorder="1"/>
    <xf numFmtId="0" fontId="2" fillId="9" borderId="0" xfId="0" applyFont="1" applyFill="1" applyBorder="1" applyAlignment="1" applyProtection="1">
      <alignment wrapText="1"/>
    </xf>
    <xf numFmtId="0" fontId="2" fillId="9" borderId="0" xfId="0" applyFont="1" applyFill="1"/>
    <xf numFmtId="6" fontId="2" fillId="9" borderId="0" xfId="0" applyNumberFormat="1" applyFont="1" applyFill="1"/>
    <xf numFmtId="37" fontId="2" fillId="9" borderId="0" xfId="0" applyNumberFormat="1" applyFont="1" applyFill="1" applyProtection="1"/>
    <xf numFmtId="0" fontId="2" fillId="9" borderId="32" xfId="0" applyFont="1" applyFill="1" applyBorder="1"/>
    <xf numFmtId="173" fontId="2" fillId="9" borderId="32" xfId="0" applyNumberFormat="1" applyFont="1" applyFill="1" applyBorder="1"/>
    <xf numFmtId="166" fontId="2" fillId="9" borderId="0" xfId="0" applyNumberFormat="1" applyFont="1" applyFill="1" applyAlignment="1" applyProtection="1">
      <alignment horizontal="center"/>
    </xf>
    <xf numFmtId="169" fontId="2" fillId="9" borderId="0" xfId="0" applyNumberFormat="1" applyFont="1" applyFill="1" applyAlignment="1" applyProtection="1">
      <alignment horizontal="center"/>
    </xf>
    <xf numFmtId="37" fontId="2" fillId="9" borderId="0" xfId="0" applyNumberFormat="1" applyFont="1" applyFill="1" applyAlignment="1" applyProtection="1">
      <alignment horizontal="center"/>
    </xf>
    <xf numFmtId="0" fontId="2" fillId="9" borderId="0" xfId="0" applyFont="1" applyFill="1" applyAlignment="1" applyProtection="1">
      <alignment horizontal="left"/>
    </xf>
    <xf numFmtId="166" fontId="2" fillId="9" borderId="0" xfId="0" applyNumberFormat="1" applyFont="1" applyFill="1" applyProtection="1"/>
    <xf numFmtId="0" fontId="2" fillId="10" borderId="32" xfId="1" applyFont="1" applyFill="1" applyBorder="1"/>
    <xf numFmtId="5" fontId="2" fillId="10" borderId="32" xfId="1" applyNumberFormat="1" applyFont="1" applyFill="1" applyBorder="1" applyProtection="1"/>
    <xf numFmtId="0" fontId="2" fillId="9" borderId="0" xfId="0" applyFont="1" applyFill="1" applyAlignment="1">
      <alignment horizontal="center"/>
    </xf>
    <xf numFmtId="0" fontId="2" fillId="9" borderId="0" xfId="0" applyFont="1" applyFill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right"/>
    </xf>
    <xf numFmtId="0" fontId="12" fillId="0" borderId="0" xfId="0" applyFont="1" applyFill="1" applyAlignment="1">
      <alignment horizontal="left" vertical="top" wrapText="1"/>
    </xf>
    <xf numFmtId="0" fontId="4" fillId="0" borderId="0" xfId="0" applyFo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top" wrapText="1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/>
</file>

<file path=xl/ctrlProps/ctrlProp49.xml><?xml version="1.0" encoding="utf-8"?>
<formControlPr xmlns="http://schemas.microsoft.com/office/spreadsheetml/2009/9/main" objectType="Button"/>
</file>

<file path=xl/ctrlProps/ctrlProp50.xml><?xml version="1.0" encoding="utf-8"?>
<formControlPr xmlns="http://schemas.microsoft.com/office/spreadsheetml/2009/9/main" objectType="Button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/>
</file>

<file path=xl/ctrlProps/ctrlProp56.xml><?xml version="1.0" encoding="utf-8"?>
<formControlPr xmlns="http://schemas.microsoft.com/office/spreadsheetml/2009/9/main" objectType="Button"/>
</file>

<file path=xl/ctrlProps/ctrlProp57.xml><?xml version="1.0" encoding="utf-8"?>
<formControlPr xmlns="http://schemas.microsoft.com/office/spreadsheetml/2009/9/main" objectType="Button"/>
</file>

<file path=xl/ctrlProps/ctrlProp58.xml><?xml version="1.0" encoding="utf-8"?>
<formControlPr xmlns="http://schemas.microsoft.com/office/spreadsheetml/2009/9/main" objectType="Button"/>
</file>

<file path=xl/ctrlProps/ctrlProp59.xml><?xml version="1.0" encoding="utf-8"?>
<formControlPr xmlns="http://schemas.microsoft.com/office/spreadsheetml/2009/9/main" objectType="Button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/>
</file>

<file path=xl/ctrlProps/ctrlProp68.xml><?xml version="1.0" encoding="utf-8"?>
<formControlPr xmlns="http://schemas.microsoft.com/office/spreadsheetml/2009/9/main" objectType="Button"/>
</file>

<file path=xl/ctrlProps/ctrlProp69.xml><?xml version="1.0" encoding="utf-8"?>
<formControlPr xmlns="http://schemas.microsoft.com/office/spreadsheetml/2009/9/main" objectType="Button"/>
</file>

<file path=xl/ctrlProps/ctrlProp70.xml><?xml version="1.0" encoding="utf-8"?>
<formControlPr xmlns="http://schemas.microsoft.com/office/spreadsheetml/2009/9/main" objectType="Button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/>
</file>

<file path=xl/ctrlProps/ctrlProp77.xml><?xml version="1.0" encoding="utf-8"?>
<formControlPr xmlns="http://schemas.microsoft.com/office/spreadsheetml/2009/9/main" objectType="Button"/>
</file>

<file path=xl/ctrlProps/ctrlProp78.xml><?xml version="1.0" encoding="utf-8"?>
<formControlPr xmlns="http://schemas.microsoft.com/office/spreadsheetml/2009/9/main" objectType="Button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/>
</file>

<file path=xl/ctrlProps/ctrlProp90.xml><?xml version="1.0" encoding="utf-8"?>
<formControlPr xmlns="http://schemas.microsoft.com/office/spreadsheetml/2009/9/main" objectType="Button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/>
</file>

<file path=xl/ctrlProps/ctrlProp99.xml><?xml version="1.0" encoding="utf-8"?>
<formControlPr xmlns="http://schemas.microsoft.com/office/spreadsheetml/2009/9/main" objectType="Button"/>
</file>

<file path=xl/ctrlProps/ctrlProp100.xml><?xml version="1.0" encoding="utf-8"?>
<formControlPr xmlns="http://schemas.microsoft.com/office/spreadsheetml/2009/9/main" objectType="Button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/>
</file>

<file path=xl/ctrlProps/ctrlProp103.xml><?xml version="1.0" encoding="utf-8"?>
<formControlPr xmlns="http://schemas.microsoft.com/office/spreadsheetml/2009/9/main" objectType="Button"/>
</file>

<file path=xl/ctrlProps/ctrlProp104.xml><?xml version="1.0" encoding="utf-8"?>
<formControlPr xmlns="http://schemas.microsoft.com/office/spreadsheetml/2009/9/main" objectType="Button"/>
</file>

<file path=xl/ctrlProps/ctrlProp105.xml><?xml version="1.0" encoding="utf-8"?>
<formControlPr xmlns="http://schemas.microsoft.com/office/spreadsheetml/2009/9/main" objectType="Button"/>
</file>

<file path=xl/ctrlProps/ctrlProp106.xml><?xml version="1.0" encoding="utf-8"?>
<formControlPr xmlns="http://schemas.microsoft.com/office/spreadsheetml/2009/9/main" objectType="Button"/>
</file>

<file path=xl/ctrlProps/ctrlProp107.xml><?xml version="1.0" encoding="utf-8"?>
<formControlPr xmlns="http://schemas.microsoft.com/office/spreadsheetml/2009/9/main" objectType="Button"/>
</file>

<file path=xl/ctrlProps/ctrlProp108.xml><?xml version="1.0" encoding="utf-8"?>
<formControlPr xmlns="http://schemas.microsoft.com/office/spreadsheetml/2009/9/main" objectType="Button"/>
</file>

<file path=xl/ctrlProps/ctrlProp109.xml><?xml version="1.0" encoding="utf-8"?>
<formControlPr xmlns="http://schemas.microsoft.com/office/spreadsheetml/2009/9/main" objectType="Button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/>
</file>

<file path=xl/ctrlProps/ctrlProp114.xml><?xml version="1.0" encoding="utf-8"?>
<formControlPr xmlns="http://schemas.microsoft.com/office/spreadsheetml/2009/9/main" objectType="Button"/>
</file>

<file path=xl/ctrlProps/ctrlProp115.xml><?xml version="1.0" encoding="utf-8"?>
<formControlPr xmlns="http://schemas.microsoft.com/office/spreadsheetml/2009/9/main" objectType="Button"/>
</file>

<file path=xl/ctrlProps/ctrlProp116.xml><?xml version="1.0" encoding="utf-8"?>
<formControlPr xmlns="http://schemas.microsoft.com/office/spreadsheetml/2009/9/main" objectType="Button"/>
</file>

<file path=xl/ctrlProps/ctrlProp117.xml><?xml version="1.0" encoding="utf-8"?>
<formControlPr xmlns="http://schemas.microsoft.com/office/spreadsheetml/2009/9/main" objectType="Button"/>
</file>

<file path=xl/ctrlProps/ctrlProp118.xml><?xml version="1.0" encoding="utf-8"?>
<formControlPr xmlns="http://schemas.microsoft.com/office/spreadsheetml/2009/9/main" objectType="Button"/>
</file>

<file path=xl/ctrlProps/ctrlProp119.xml><?xml version="1.0" encoding="utf-8"?>
<formControlPr xmlns="http://schemas.microsoft.com/office/spreadsheetml/2009/9/main" objectType="Button"/>
</file>

<file path=xl/ctrlProps/ctrlProp120.xml><?xml version="1.0" encoding="utf-8"?>
<formControlPr xmlns="http://schemas.microsoft.com/office/spreadsheetml/2009/9/main" objectType="Button"/>
</file>

<file path=xl/ctrlProps/ctrlProp121.xml><?xml version="1.0" encoding="utf-8"?>
<formControlPr xmlns="http://schemas.microsoft.com/office/spreadsheetml/2009/9/main" objectType="Button"/>
</file>

<file path=xl/ctrlProps/ctrlProp122.xml><?xml version="1.0" encoding="utf-8"?>
<formControlPr xmlns="http://schemas.microsoft.com/office/spreadsheetml/2009/9/main" objectType="Button"/>
</file>

<file path=xl/ctrlProps/ctrlProp123.xml><?xml version="1.0" encoding="utf-8"?>
<formControlPr xmlns="http://schemas.microsoft.com/office/spreadsheetml/2009/9/main" objectType="Button"/>
</file>

<file path=xl/ctrlProps/ctrlProp124.xml><?xml version="1.0" encoding="utf-8"?>
<formControlPr xmlns="http://schemas.microsoft.com/office/spreadsheetml/2009/9/main" objectType="Button"/>
</file>

<file path=xl/ctrlProps/ctrlProp125.xml><?xml version="1.0" encoding="utf-8"?>
<formControlPr xmlns="http://schemas.microsoft.com/office/spreadsheetml/2009/9/main" objectType="Button"/>
</file>

<file path=xl/ctrlProps/ctrlProp126.xml><?xml version="1.0" encoding="utf-8"?>
<formControlPr xmlns="http://schemas.microsoft.com/office/spreadsheetml/2009/9/main" objectType="Button"/>
</file>

<file path=xl/ctrlProps/ctrlProp127.xml><?xml version="1.0" encoding="utf-8"?>
<formControlPr xmlns="http://schemas.microsoft.com/office/spreadsheetml/2009/9/main" objectType="Button"/>
</file>

<file path=xl/ctrlProps/ctrlProp128.xml><?xml version="1.0" encoding="utf-8"?>
<formControlPr xmlns="http://schemas.microsoft.com/office/spreadsheetml/2009/9/main" objectType="Button"/>
</file>

<file path=xl/ctrlProps/ctrlProp129.xml><?xml version="1.0" encoding="utf-8"?>
<formControlPr xmlns="http://schemas.microsoft.com/office/spreadsheetml/2009/9/main" objectType="Button"/>
</file>

<file path=xl/ctrlProps/ctrlProp130.xml><?xml version="1.0" encoding="utf-8"?>
<formControlPr xmlns="http://schemas.microsoft.com/office/spreadsheetml/2009/9/main" objectType="Button"/>
</file>

<file path=xl/ctrlProps/ctrlProp131.xml><?xml version="1.0" encoding="utf-8"?>
<formControlPr xmlns="http://schemas.microsoft.com/office/spreadsheetml/2009/9/main" objectType="Button"/>
</file>

<file path=xl/ctrlProps/ctrlProp132.xml><?xml version="1.0" encoding="utf-8"?>
<formControlPr xmlns="http://schemas.microsoft.com/office/spreadsheetml/2009/9/main" objectType="Button"/>
</file>

<file path=xl/ctrlProps/ctrlProp133.xml><?xml version="1.0" encoding="utf-8"?>
<formControlPr xmlns="http://schemas.microsoft.com/office/spreadsheetml/2009/9/main" objectType="Button"/>
</file>

<file path=xl/ctrlProps/ctrlProp134.xml><?xml version="1.0" encoding="utf-8"?>
<formControlPr xmlns="http://schemas.microsoft.com/office/spreadsheetml/2009/9/main" objectType="Button"/>
</file>

<file path=xl/ctrlProps/ctrlProp135.xml><?xml version="1.0" encoding="utf-8"?>
<formControlPr xmlns="http://schemas.microsoft.com/office/spreadsheetml/2009/9/main" objectType="Button"/>
</file>

<file path=xl/ctrlProps/ctrlProp136.xml><?xml version="1.0" encoding="utf-8"?>
<formControlPr xmlns="http://schemas.microsoft.com/office/spreadsheetml/2009/9/main" objectType="Button"/>
</file>

<file path=xl/ctrlProps/ctrlProp137.xml><?xml version="1.0" encoding="utf-8"?>
<formControlPr xmlns="http://schemas.microsoft.com/office/spreadsheetml/2009/9/main" objectType="Button"/>
</file>

<file path=xl/ctrlProps/ctrlProp138.xml><?xml version="1.0" encoding="utf-8"?>
<formControlPr xmlns="http://schemas.microsoft.com/office/spreadsheetml/2009/9/main" objectType="Button"/>
</file>

<file path=xl/ctrlProps/ctrlProp139.xml><?xml version="1.0" encoding="utf-8"?>
<formControlPr xmlns="http://schemas.microsoft.com/office/spreadsheetml/2009/9/main" objectType="Button"/>
</file>

<file path=xl/ctrlProps/ctrlProp140.xml><?xml version="1.0" encoding="utf-8"?>
<formControlPr xmlns="http://schemas.microsoft.com/office/spreadsheetml/2009/9/main" objectType="Button"/>
</file>

<file path=xl/ctrlProps/ctrlProp141.xml><?xml version="1.0" encoding="utf-8"?>
<formControlPr xmlns="http://schemas.microsoft.com/office/spreadsheetml/2009/9/main" objectType="Button"/>
</file>

<file path=xl/ctrlProps/ctrlProp142.xml><?xml version="1.0" encoding="utf-8"?>
<formControlPr xmlns="http://schemas.microsoft.com/office/spreadsheetml/2009/9/main" objectType="Button"/>
</file>

<file path=xl/ctrlProps/ctrlProp143.xml><?xml version="1.0" encoding="utf-8"?>
<formControlPr xmlns="http://schemas.microsoft.com/office/spreadsheetml/2009/9/main" objectType="Button"/>
</file>

<file path=xl/ctrlProps/ctrlProp144.xml><?xml version="1.0" encoding="utf-8"?>
<formControlPr xmlns="http://schemas.microsoft.com/office/spreadsheetml/2009/9/main" objectType="Button"/>
</file>

<file path=xl/ctrlProps/ctrlProp145.xml><?xml version="1.0" encoding="utf-8"?>
<formControlPr xmlns="http://schemas.microsoft.com/office/spreadsheetml/2009/9/main" objectType="Button"/>
</file>

<file path=xl/ctrlProps/ctrlProp146.xml><?xml version="1.0" encoding="utf-8"?>
<formControlPr xmlns="http://schemas.microsoft.com/office/spreadsheetml/2009/9/main" objectType="Button"/>
</file>

<file path=xl/ctrlProps/ctrlProp147.xml><?xml version="1.0" encoding="utf-8"?>
<formControlPr xmlns="http://schemas.microsoft.com/office/spreadsheetml/2009/9/main" objectType="Button"/>
</file>

<file path=xl/ctrlProps/ctrlProp148.xml><?xml version="1.0" encoding="utf-8"?>
<formControlPr xmlns="http://schemas.microsoft.com/office/spreadsheetml/2009/9/main" objectType="Button"/>
</file>

<file path=xl/ctrlProps/ctrlProp149.xml><?xml version="1.0" encoding="utf-8"?>
<formControlPr xmlns="http://schemas.microsoft.com/office/spreadsheetml/2009/9/main" objectType="Button"/>
</file>

<file path=xl/ctrlProps/ctrlProp150.xml><?xml version="1.0" encoding="utf-8"?>
<formControlPr xmlns="http://schemas.microsoft.com/office/spreadsheetml/2009/9/main" objectType="Button"/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171450</xdr:rowOff>
        </xdr:from>
        <xdr:to>
          <xdr:col>0</xdr:col>
          <xdr:colOff>0</xdr:colOff>
          <xdr:row>2</xdr:row>
          <xdr:rowOff>28575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133350</xdr:rowOff>
        </xdr:from>
        <xdr:to>
          <xdr:col>0</xdr:col>
          <xdr:colOff>0</xdr:colOff>
          <xdr:row>3</xdr:row>
          <xdr:rowOff>180975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95250</xdr:rowOff>
        </xdr:from>
        <xdr:to>
          <xdr:col>0</xdr:col>
          <xdr:colOff>0</xdr:colOff>
          <xdr:row>5</xdr:row>
          <xdr:rowOff>142875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66675</xdr:rowOff>
        </xdr:from>
        <xdr:to>
          <xdr:col>0</xdr:col>
          <xdr:colOff>0</xdr:colOff>
          <xdr:row>7</xdr:row>
          <xdr:rowOff>114300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19050</xdr:rowOff>
        </xdr:from>
        <xdr:to>
          <xdr:col>0</xdr:col>
          <xdr:colOff>0</xdr:colOff>
          <xdr:row>9</xdr:row>
          <xdr:rowOff>66675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180975</xdr:rowOff>
        </xdr:from>
        <xdr:to>
          <xdr:col>0</xdr:col>
          <xdr:colOff>0</xdr:colOff>
          <xdr:row>10</xdr:row>
          <xdr:rowOff>161925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133350</xdr:rowOff>
        </xdr:from>
        <xdr:to>
          <xdr:col>0</xdr:col>
          <xdr:colOff>0</xdr:colOff>
          <xdr:row>13</xdr:row>
          <xdr:rowOff>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161925</xdr:rowOff>
        </xdr:from>
        <xdr:to>
          <xdr:col>0</xdr:col>
          <xdr:colOff>0</xdr:colOff>
          <xdr:row>11</xdr:row>
          <xdr:rowOff>133350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13...Earthsum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3092" name="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76200</xdr:rowOff>
        </xdr:to>
        <xdr:sp macro="" textlink="">
          <xdr:nvSpPr>
            <xdr:cNvPr id="3095" name="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10</xdr:row>
          <xdr:rowOff>0</xdr:rowOff>
        </xdr:to>
        <xdr:sp macro="" textlink="">
          <xdr:nvSpPr>
            <xdr:cNvPr id="3096" name="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76200</xdr:rowOff>
        </xdr:to>
        <xdr:sp macro="" textlink="">
          <xdr:nvSpPr>
            <xdr:cNvPr id="3097" name="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9525</xdr:rowOff>
        </xdr:from>
        <xdr:to>
          <xdr:col>0</xdr:col>
          <xdr:colOff>0</xdr:colOff>
          <xdr:row>13</xdr:row>
          <xdr:rowOff>76200</xdr:rowOff>
        </xdr:to>
        <xdr:sp macro="" textlink="">
          <xdr:nvSpPr>
            <xdr:cNvPr id="3098" name="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9525</xdr:rowOff>
        </xdr:from>
        <xdr:to>
          <xdr:col>0</xdr:col>
          <xdr:colOff>0</xdr:colOff>
          <xdr:row>15</xdr:row>
          <xdr:rowOff>76200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17</xdr:row>
          <xdr:rowOff>85725</xdr:rowOff>
        </xdr:to>
        <xdr:sp macro="" textlink="">
          <xdr:nvSpPr>
            <xdr:cNvPr id="3100" name="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4125" name="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4127" name="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4128" name="Butto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4129" name="Butto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4130" name="Butto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4131" name="Butto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4132" name="Butto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4133" name="Butto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9525</xdr:rowOff>
        </xdr:from>
        <xdr:to>
          <xdr:col>0</xdr:col>
          <xdr:colOff>0</xdr:colOff>
          <xdr:row>20</xdr:row>
          <xdr:rowOff>76200</xdr:rowOff>
        </xdr:to>
        <xdr:sp macro="" textlink="">
          <xdr:nvSpPr>
            <xdr:cNvPr id="4134" name="Butto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15..Other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5159" name="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5160" name="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5161" name="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5162" name="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5163" name="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5164" name="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5165" name="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5166" name="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5167" name="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5168" name="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6193" name="Button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6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6194" name="Butto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6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 macro="" textlink="">
          <xdr:nvSpPr>
            <xdr:cNvPr id="6195" name="Button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6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6196" name="Button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6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6197" name="Button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6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6198" name="Button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6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6199" name="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6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9525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6200" name="Butto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6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6201" name="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6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85725</xdr:rowOff>
        </xdr:to>
        <xdr:sp macro="" textlink="">
          <xdr:nvSpPr>
            <xdr:cNvPr id="6202" name="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6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7227" name="Button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7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7228" name="Button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7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7229" name="Button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7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7230" name="Button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7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7231" name="Button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7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7232" name="Button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7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7233" name="Button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7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7234" name="Button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7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7235" name="Button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7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7236" name="Button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7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8261" name="Button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8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76200</xdr:rowOff>
        </xdr:to>
        <xdr:sp macro="" textlink="">
          <xdr:nvSpPr>
            <xdr:cNvPr id="8262" name="Button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8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76200</xdr:rowOff>
        </xdr:to>
        <xdr:sp macro="" textlink="">
          <xdr:nvSpPr>
            <xdr:cNvPr id="8263" name="Button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8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76200</xdr:rowOff>
        </xdr:to>
        <xdr:sp macro="" textlink="">
          <xdr:nvSpPr>
            <xdr:cNvPr id="8264" name="Button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8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76200</xdr:rowOff>
        </xdr:to>
        <xdr:sp macro="" textlink="">
          <xdr:nvSpPr>
            <xdr:cNvPr id="8265" name="Button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8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76200</xdr:rowOff>
        </xdr:to>
        <xdr:sp macro="" textlink="">
          <xdr:nvSpPr>
            <xdr:cNvPr id="8266" name="Button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8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76200</xdr:rowOff>
        </xdr:to>
        <xdr:sp macro="" textlink="">
          <xdr:nvSpPr>
            <xdr:cNvPr id="8267" name="Button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8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9525</xdr:rowOff>
        </xdr:from>
        <xdr:to>
          <xdr:col>2</xdr:col>
          <xdr:colOff>0</xdr:colOff>
          <xdr:row>16</xdr:row>
          <xdr:rowOff>76200</xdr:rowOff>
        </xdr:to>
        <xdr:sp macro="" textlink="">
          <xdr:nvSpPr>
            <xdr:cNvPr id="8268" name="Button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8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9525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8269" name="Button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8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85725</xdr:rowOff>
        </xdr:to>
        <xdr:sp macro="" textlink="">
          <xdr:nvSpPr>
            <xdr:cNvPr id="8270" name="Button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8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76200</xdr:rowOff>
        </xdr:to>
        <xdr:sp macro="" textlink="">
          <xdr:nvSpPr>
            <xdr:cNvPr id="9295" name="Button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9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76200</xdr:rowOff>
        </xdr:to>
        <xdr:sp macro="" textlink="">
          <xdr:nvSpPr>
            <xdr:cNvPr id="9296" name="Button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9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76200</xdr:rowOff>
        </xdr:to>
        <xdr:sp macro="" textlink="">
          <xdr:nvSpPr>
            <xdr:cNvPr id="9297" name="Button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9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76200</xdr:rowOff>
        </xdr:to>
        <xdr:sp macro="" textlink="">
          <xdr:nvSpPr>
            <xdr:cNvPr id="9298" name="Button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9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85725</xdr:rowOff>
        </xdr:to>
        <xdr:sp macro="" textlink="">
          <xdr:nvSpPr>
            <xdr:cNvPr id="9299" name="Button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9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9525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9300" name="Button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9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9525</xdr:rowOff>
        </xdr:from>
        <xdr:to>
          <xdr:col>2</xdr:col>
          <xdr:colOff>0</xdr:colOff>
          <xdr:row>16</xdr:row>
          <xdr:rowOff>76200</xdr:rowOff>
        </xdr:to>
        <xdr:sp macro="" textlink="">
          <xdr:nvSpPr>
            <xdr:cNvPr id="9301" name="Button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9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76200</xdr:rowOff>
        </xdr:to>
        <xdr:sp macro="" textlink="">
          <xdr:nvSpPr>
            <xdr:cNvPr id="9302" name="Button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9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76200</xdr:rowOff>
        </xdr:to>
        <xdr:sp macro="" textlink="">
          <xdr:nvSpPr>
            <xdr:cNvPr id="9303" name="Button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9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9304" name="Button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9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104775</xdr:rowOff>
        </xdr:to>
        <xdr:sp macro="" textlink="">
          <xdr:nvSpPr>
            <xdr:cNvPr id="9305" name="Button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9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 HELP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0330" name="Button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B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0331" name="Button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B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0332" name="Button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B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0333" name="Button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B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0334" name="Button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B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0335" name="Button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B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0336" name="Button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B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0337" name="Button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B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0338" name="Button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B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10339" name="Button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B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1364" name="Button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D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1365" name="Button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D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1366" name="Button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D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1367" name="Button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D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1368" name="Button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D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 macro="" textlink="">
          <xdr:nvSpPr>
            <xdr:cNvPr id="11369" name="Button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D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1370" name="Button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D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1371" name="Button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D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1372" name="Button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D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14...Reveg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0</xdr:rowOff>
        </xdr:to>
        <xdr:sp macro="" textlink="">
          <xdr:nvSpPr>
            <xdr:cNvPr id="11373" name="Button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D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2398" name="Button 110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E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2399" name="Button 111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E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2400" name="Button 112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E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2401" name="Button 113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E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2402" name="Button 114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E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2403" name="Button 115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E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2404" name="Button 116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E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0</xdr:rowOff>
        </xdr:to>
        <xdr:sp macro="" textlink="">
          <xdr:nvSpPr>
            <xdr:cNvPr id="12405" name="Button 117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E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9525</xdr:rowOff>
        </xdr:from>
        <xdr:to>
          <xdr:col>0</xdr:col>
          <xdr:colOff>0</xdr:colOff>
          <xdr:row>17</xdr:row>
          <xdr:rowOff>76200</xdr:rowOff>
        </xdr:to>
        <xdr:sp macro="" textlink="">
          <xdr:nvSpPr>
            <xdr:cNvPr id="12406" name="Button 118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E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0</xdr:col>
          <xdr:colOff>0</xdr:colOff>
          <xdr:row>19</xdr:row>
          <xdr:rowOff>85725</xdr:rowOff>
        </xdr:to>
        <xdr:sp macro="" textlink="">
          <xdr:nvSpPr>
            <xdr:cNvPr id="12407" name="Button 119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E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3432" name="Button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F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3433" name="Button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F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3434" name="Button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F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9</xdr:row>
          <xdr:rowOff>76200</xdr:rowOff>
        </xdr:to>
        <xdr:sp macro="" textlink="">
          <xdr:nvSpPr>
            <xdr:cNvPr id="13435" name="Button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F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 macro="" textlink="">
          <xdr:nvSpPr>
            <xdr:cNvPr id="13436" name="Button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F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11</xdr:row>
          <xdr:rowOff>0</xdr:rowOff>
        </xdr:to>
        <xdr:sp macro="" textlink="">
          <xdr:nvSpPr>
            <xdr:cNvPr id="13437" name="Button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F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3438" name="Button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F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3439" name="Button 127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F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3440" name="Button 128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F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13441" name="Button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F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4466" name="Button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10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4467" name="Button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10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4468" name="Button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10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4469" name="Button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10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4470" name="Button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10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4471" name="Button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10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4472" name="Button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10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6...Grading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27</xdr:row>
          <xdr:rowOff>66675</xdr:rowOff>
        </xdr:to>
        <xdr:sp macro="" textlink="">
          <xdr:nvSpPr>
            <xdr:cNvPr id="14473" name="Button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10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76200</xdr:rowOff>
        </xdr:to>
        <xdr:sp macro="" textlink="">
          <xdr:nvSpPr>
            <xdr:cNvPr id="14474" name="Button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10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4475" name="Button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10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4476" name="Button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10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7...Ripper</a:t>
              </a:r>
            </a:p>
          </xdr:txBody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741049</xdr:colOff>
      <xdr:row>37</xdr:row>
      <xdr:rowOff>56261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19049" cy="71142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15501" name="Button 141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17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76200</xdr:rowOff>
        </xdr:to>
        <xdr:sp macro="" textlink="">
          <xdr:nvSpPr>
            <xdr:cNvPr id="15502" name="Button 142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17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76200</xdr:rowOff>
        </xdr:to>
        <xdr:sp macro="" textlink="">
          <xdr:nvSpPr>
            <xdr:cNvPr id="15503" name="Button 143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17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76200</xdr:rowOff>
        </xdr:to>
        <xdr:sp macro="" textlink="">
          <xdr:nvSpPr>
            <xdr:cNvPr id="15504" name="Button 144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17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76200</xdr:rowOff>
        </xdr:to>
        <xdr:sp macro="" textlink="">
          <xdr:nvSpPr>
            <xdr:cNvPr id="15505" name="Button 145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17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76200</xdr:rowOff>
        </xdr:to>
        <xdr:sp macro="" textlink="">
          <xdr:nvSpPr>
            <xdr:cNvPr id="15506" name="Button 146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17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76200</xdr:rowOff>
        </xdr:to>
        <xdr:sp macro="" textlink="">
          <xdr:nvSpPr>
            <xdr:cNvPr id="15507" name="Button 147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17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66675</xdr:rowOff>
        </xdr:to>
        <xdr:sp macro="" textlink="">
          <xdr:nvSpPr>
            <xdr:cNvPr id="15508" name="Button 148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17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9525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15509" name="Button 149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17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85725</xdr:rowOff>
        </xdr:to>
        <xdr:sp macro="" textlink="">
          <xdr:nvSpPr>
            <xdr:cNvPr id="15510" name="Button 150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17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13" Type="http://schemas.openxmlformats.org/officeDocument/2006/relationships/ctrlProp" Target="../ctrlProps/ctrlProp6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0" Type="http://schemas.openxmlformats.org/officeDocument/2006/relationships/ctrlProp" Target="../ctrlProps/ctrlProp6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ctrlProp" Target="../ctrlProps/ctrlProp80.xml"/><Relationship Id="rId10" Type="http://schemas.openxmlformats.org/officeDocument/2006/relationships/ctrlProp" Target="../ctrlProps/ctrlProp85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13" Type="http://schemas.openxmlformats.org/officeDocument/2006/relationships/ctrlProp" Target="../ctrlProps/ctrlProp99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93.xml"/><Relationship Id="rId12" Type="http://schemas.openxmlformats.org/officeDocument/2006/relationships/ctrlProp" Target="../ctrlProps/ctrlProp9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2.xml"/><Relationship Id="rId11" Type="http://schemas.openxmlformats.org/officeDocument/2006/relationships/ctrlProp" Target="../ctrlProps/ctrlProp97.xml"/><Relationship Id="rId5" Type="http://schemas.openxmlformats.org/officeDocument/2006/relationships/ctrlProp" Target="../ctrlProps/ctrlProp91.xml"/><Relationship Id="rId10" Type="http://schemas.openxmlformats.org/officeDocument/2006/relationships/ctrlProp" Target="../ctrlProps/ctrlProp96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.xml"/><Relationship Id="rId13" Type="http://schemas.openxmlformats.org/officeDocument/2006/relationships/ctrlProp" Target="../ctrlProps/ctrlProp109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5" Type="http://schemas.openxmlformats.org/officeDocument/2006/relationships/ctrlProp" Target="../ctrlProps/ctrlProp101.xml"/><Relationship Id="rId10" Type="http://schemas.openxmlformats.org/officeDocument/2006/relationships/ctrlProp" Target="../ctrlProps/ctrlProp106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5" Type="http://schemas.openxmlformats.org/officeDocument/2006/relationships/ctrlProp" Target="../ctrlProps/ctrlProp111.xml"/><Relationship Id="rId10" Type="http://schemas.openxmlformats.org/officeDocument/2006/relationships/ctrlProp" Target="../ctrlProps/ctrlProp116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4.xml"/><Relationship Id="rId13" Type="http://schemas.openxmlformats.org/officeDocument/2006/relationships/ctrlProp" Target="../ctrlProps/ctrlProp129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23.xml"/><Relationship Id="rId12" Type="http://schemas.openxmlformats.org/officeDocument/2006/relationships/ctrlProp" Target="../ctrlProps/ctrlProp12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22.xml"/><Relationship Id="rId11" Type="http://schemas.openxmlformats.org/officeDocument/2006/relationships/ctrlProp" Target="../ctrlProps/ctrlProp127.xml"/><Relationship Id="rId5" Type="http://schemas.openxmlformats.org/officeDocument/2006/relationships/ctrlProp" Target="../ctrlProps/ctrlProp121.xml"/><Relationship Id="rId10" Type="http://schemas.openxmlformats.org/officeDocument/2006/relationships/ctrlProp" Target="../ctrlProps/ctrlProp126.xml"/><Relationship Id="rId4" Type="http://schemas.openxmlformats.org/officeDocument/2006/relationships/ctrlProp" Target="../ctrlProps/ctrlProp120.xml"/><Relationship Id="rId9" Type="http://schemas.openxmlformats.org/officeDocument/2006/relationships/ctrlProp" Target="../ctrlProps/ctrlProp12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13" Type="http://schemas.openxmlformats.org/officeDocument/2006/relationships/ctrlProp" Target="../ctrlProps/ctrlProp15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44.xml"/><Relationship Id="rId12" Type="http://schemas.openxmlformats.org/officeDocument/2006/relationships/ctrlProp" Target="../ctrlProps/ctrlProp14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5" Type="http://schemas.openxmlformats.org/officeDocument/2006/relationships/ctrlProp" Target="../ctrlProps/ctrlProp142.xml"/><Relationship Id="rId10" Type="http://schemas.openxmlformats.org/officeDocument/2006/relationships/ctrlProp" Target="../ctrlProps/ctrlProp147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21"/>
  <sheetViews>
    <sheetView defaultGridColor="0" topLeftCell="D2" colorId="22" zoomScale="75" workbookViewId="0">
      <selection activeCell="E11" sqref="E11"/>
    </sheetView>
  </sheetViews>
  <sheetFormatPr defaultColWidth="9.77734375" defaultRowHeight="15" x14ac:dyDescent="0.2"/>
  <cols>
    <col min="1" max="1" width="1.77734375" hidden="1" customWidth="1"/>
    <col min="2" max="2" width="11.77734375" hidden="1" customWidth="1"/>
    <col min="3" max="3" width="1.77734375" hidden="1" customWidth="1"/>
    <col min="4" max="4" width="18.77734375" customWidth="1"/>
    <col min="5" max="5" width="40.109375" customWidth="1"/>
    <col min="6" max="6" width="20.77734375" customWidth="1"/>
  </cols>
  <sheetData>
    <row r="1" spans="1:6" x14ac:dyDescent="0.2">
      <c r="A1" s="2"/>
      <c r="B1" s="2"/>
      <c r="C1" s="2"/>
      <c r="D1" s="1" t="s">
        <v>0</v>
      </c>
      <c r="E1" s="1"/>
      <c r="F1" s="3" t="s">
        <v>1</v>
      </c>
    </row>
    <row r="2" spans="1:6" x14ac:dyDescent="0.2">
      <c r="A2" s="2"/>
      <c r="B2" s="2"/>
      <c r="C2" s="2"/>
      <c r="D2" t="s">
        <v>2</v>
      </c>
    </row>
    <row r="3" spans="1:6" x14ac:dyDescent="0.2">
      <c r="A3" s="2"/>
      <c r="B3" s="2"/>
      <c r="C3" s="2"/>
      <c r="D3" s="5" t="s">
        <v>3</v>
      </c>
      <c r="E3" s="1"/>
      <c r="F3" s="268">
        <f ca="1">TODAY()</f>
        <v>43949</v>
      </c>
    </row>
    <row r="4" spans="1:6" x14ac:dyDescent="0.2">
      <c r="A4" s="2"/>
      <c r="B4" s="2"/>
      <c r="C4" s="2"/>
    </row>
    <row r="5" spans="1:6" x14ac:dyDescent="0.2">
      <c r="A5" s="2"/>
      <c r="B5" s="2"/>
      <c r="C5" s="2"/>
      <c r="D5" s="6" t="s">
        <v>4</v>
      </c>
      <c r="E5" s="7" t="s">
        <v>5</v>
      </c>
      <c r="F5" s="8" t="s">
        <v>6</v>
      </c>
    </row>
    <row r="6" spans="1:6" x14ac:dyDescent="0.2">
      <c r="A6" s="2"/>
      <c r="B6" s="2"/>
      <c r="C6" s="2"/>
      <c r="D6" s="9"/>
      <c r="E6" s="1" t="s">
        <v>214</v>
      </c>
      <c r="F6" s="101" t="s">
        <v>217</v>
      </c>
    </row>
    <row r="7" spans="1:6" x14ac:dyDescent="0.2">
      <c r="A7" s="2"/>
      <c r="B7" s="2"/>
      <c r="C7" s="10"/>
      <c r="D7" s="9"/>
      <c r="E7" s="1" t="s">
        <v>215</v>
      </c>
      <c r="F7" s="101" t="s">
        <v>218</v>
      </c>
    </row>
    <row r="8" spans="1:6" ht="15.75" x14ac:dyDescent="0.25">
      <c r="A8" s="2"/>
      <c r="B8" s="2"/>
      <c r="C8" s="12"/>
      <c r="D8" s="9"/>
      <c r="E8" s="1"/>
      <c r="F8" s="11"/>
    </row>
    <row r="9" spans="1:6" x14ac:dyDescent="0.2">
      <c r="A9" s="2"/>
      <c r="B9" s="2"/>
      <c r="C9" s="10"/>
      <c r="D9" s="9" t="s">
        <v>7</v>
      </c>
      <c r="E9" s="1" t="s">
        <v>8</v>
      </c>
      <c r="F9" s="11"/>
    </row>
    <row r="10" spans="1:6" x14ac:dyDescent="0.2">
      <c r="A10" s="2"/>
      <c r="B10" s="2"/>
      <c r="C10" s="10"/>
      <c r="D10" s="9"/>
      <c r="E10" s="1"/>
      <c r="F10" s="11"/>
    </row>
    <row r="11" spans="1:6" x14ac:dyDescent="0.2">
      <c r="A11" s="2"/>
      <c r="B11" s="2"/>
      <c r="C11" s="10"/>
      <c r="D11" s="9" t="s">
        <v>9</v>
      </c>
      <c r="E11" s="105" t="s">
        <v>252</v>
      </c>
      <c r="F11" s="11"/>
    </row>
    <row r="12" spans="1:6" x14ac:dyDescent="0.2">
      <c r="A12" s="2"/>
      <c r="B12" s="2"/>
      <c r="C12" s="10"/>
      <c r="D12" s="9"/>
      <c r="E12" s="1"/>
      <c r="F12" s="11"/>
    </row>
    <row r="13" spans="1:6" x14ac:dyDescent="0.2">
      <c r="A13" s="2"/>
      <c r="B13" s="2"/>
      <c r="C13" s="10"/>
      <c r="D13" s="9" t="s">
        <v>10</v>
      </c>
      <c r="E13" s="1" t="s">
        <v>11</v>
      </c>
      <c r="F13" s="11"/>
    </row>
    <row r="14" spans="1:6" x14ac:dyDescent="0.2">
      <c r="A14" s="2"/>
      <c r="B14" s="2"/>
      <c r="C14" s="10"/>
      <c r="D14" s="9"/>
      <c r="E14" s="1"/>
      <c r="F14" s="11"/>
    </row>
    <row r="15" spans="1:6" x14ac:dyDescent="0.2">
      <c r="A15" s="2"/>
      <c r="B15" s="2"/>
      <c r="C15" s="10"/>
      <c r="D15" s="9" t="s">
        <v>12</v>
      </c>
      <c r="E15" s="66" t="s">
        <v>13</v>
      </c>
      <c r="F15" s="11"/>
    </row>
    <row r="16" spans="1:6" x14ac:dyDescent="0.2">
      <c r="A16" s="2"/>
      <c r="B16" s="2"/>
      <c r="C16" s="10"/>
      <c r="D16" s="9"/>
      <c r="E16" s="1"/>
      <c r="F16" s="11"/>
    </row>
    <row r="17" spans="1:6" x14ac:dyDescent="0.2">
      <c r="A17" s="2"/>
      <c r="B17" s="2"/>
      <c r="C17" s="10"/>
      <c r="D17" s="9" t="s">
        <v>14</v>
      </c>
      <c r="E17" s="66" t="s">
        <v>271</v>
      </c>
      <c r="F17" s="11"/>
    </row>
    <row r="18" spans="1:6" x14ac:dyDescent="0.2">
      <c r="A18" s="2"/>
      <c r="B18" s="2"/>
      <c r="C18" s="10"/>
      <c r="D18" s="9"/>
      <c r="E18" s="1"/>
      <c r="F18" s="11"/>
    </row>
    <row r="19" spans="1:6" ht="15.75" x14ac:dyDescent="0.25">
      <c r="A19" s="2"/>
      <c r="B19" s="2"/>
      <c r="C19" s="10"/>
      <c r="D19" s="14" t="s">
        <v>15</v>
      </c>
      <c r="E19" s="273">
        <f>'16..BondSum'!G28</f>
        <v>125486.57308082473</v>
      </c>
      <c r="F19" s="15"/>
    </row>
    <row r="20" spans="1:6" x14ac:dyDescent="0.2">
      <c r="A20" s="2"/>
      <c r="B20" s="2"/>
      <c r="C20" s="10"/>
      <c r="D20" s="1"/>
      <c r="E20" s="1"/>
      <c r="F20" s="5"/>
    </row>
    <row r="21" spans="1:6" x14ac:dyDescent="0.2">
      <c r="A21" s="2"/>
      <c r="B21" s="2"/>
      <c r="C21" s="2"/>
      <c r="D21" s="1"/>
      <c r="E21" s="1"/>
      <c r="F21" s="5"/>
    </row>
  </sheetData>
  <phoneticPr fontId="5" type="noConversion"/>
  <pageMargins left="1" right="1" top="1" bottom="1" header="0.5" footer="0.5"/>
  <pageSetup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29"/>
  <sheetViews>
    <sheetView defaultGridColor="0" topLeftCell="D7" colorId="22" zoomScale="75" workbookViewId="0">
      <selection activeCell="E26" sqref="E26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4.77734375" style="94" customWidth="1"/>
    <col min="5" max="7" width="9.77734375" style="94"/>
    <col min="8" max="8" width="11.77734375" style="94" customWidth="1"/>
    <col min="9" max="9" width="20.77734375" style="94" customWidth="1"/>
    <col min="10" max="16384" width="9.77734375" style="94"/>
  </cols>
  <sheetData>
    <row r="1" spans="1:9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66"/>
      <c r="I1" s="106" t="str">
        <f>General!F1</f>
        <v>Rocky Mountain Mine</v>
      </c>
    </row>
    <row r="2" spans="1:9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106" t="s">
        <v>16</v>
      </c>
    </row>
    <row r="3" spans="1:9" x14ac:dyDescent="0.2">
      <c r="A3" s="10"/>
      <c r="B3" s="10"/>
      <c r="C3" s="10"/>
      <c r="D3" s="5" t="s">
        <v>17</v>
      </c>
      <c r="E3" s="66"/>
      <c r="F3" s="66"/>
      <c r="G3" s="66"/>
      <c r="H3" s="66"/>
      <c r="I3" s="167">
        <f ca="1">TODAY()</f>
        <v>43949</v>
      </c>
    </row>
    <row r="4" spans="1:9" x14ac:dyDescent="0.2">
      <c r="A4" s="10"/>
      <c r="B4" s="10"/>
      <c r="C4" s="10"/>
      <c r="D4" s="66"/>
      <c r="E4" s="66"/>
      <c r="F4" s="66"/>
      <c r="G4" s="66"/>
      <c r="H4" s="66"/>
      <c r="I4" s="161" t="s">
        <v>273</v>
      </c>
    </row>
    <row r="5" spans="1:9" x14ac:dyDescent="0.2">
      <c r="A5" s="10"/>
      <c r="B5" s="10"/>
      <c r="C5" s="10"/>
      <c r="D5" s="94" t="s">
        <v>18</v>
      </c>
    </row>
    <row r="6" spans="1:9" x14ac:dyDescent="0.2">
      <c r="A6" s="10"/>
      <c r="B6" s="10"/>
      <c r="C6" s="10"/>
    </row>
    <row r="7" spans="1:9" ht="15.75" x14ac:dyDescent="0.25">
      <c r="A7" s="10"/>
      <c r="B7" s="10"/>
      <c r="C7" s="10"/>
      <c r="D7" s="18" t="s">
        <v>19</v>
      </c>
    </row>
    <row r="8" spans="1:9" ht="15.75" x14ac:dyDescent="0.25">
      <c r="A8" s="10"/>
      <c r="B8" s="10"/>
      <c r="C8" s="12"/>
      <c r="E8" s="94" t="s">
        <v>20</v>
      </c>
    </row>
    <row r="9" spans="1:9" x14ac:dyDescent="0.2">
      <c r="A9" s="10"/>
      <c r="B9" s="10"/>
      <c r="C9" s="10"/>
      <c r="E9" s="94" t="s">
        <v>21</v>
      </c>
    </row>
    <row r="10" spans="1:9" x14ac:dyDescent="0.2">
      <c r="A10" s="10"/>
      <c r="B10" s="10"/>
      <c r="C10" s="10"/>
    </row>
    <row r="11" spans="1:9" ht="15.75" x14ac:dyDescent="0.25">
      <c r="A11" s="10"/>
      <c r="B11" s="10"/>
      <c r="C11" s="10"/>
      <c r="D11" s="18" t="s">
        <v>22</v>
      </c>
    </row>
    <row r="12" spans="1:9" x14ac:dyDescent="0.2">
      <c r="A12" s="10"/>
      <c r="B12" s="10"/>
      <c r="C12" s="10"/>
      <c r="E12" s="94" t="s">
        <v>300</v>
      </c>
    </row>
    <row r="13" spans="1:9" x14ac:dyDescent="0.2">
      <c r="A13" s="10"/>
      <c r="B13" s="10"/>
      <c r="C13" s="10"/>
      <c r="E13" s="94" t="s">
        <v>301</v>
      </c>
    </row>
    <row r="14" spans="1:9" x14ac:dyDescent="0.2">
      <c r="A14" s="10"/>
      <c r="B14" s="10"/>
      <c r="C14" s="10"/>
    </row>
    <row r="15" spans="1:9" ht="15.75" x14ac:dyDescent="0.25">
      <c r="A15" s="10"/>
      <c r="B15" s="10"/>
      <c r="C15" s="10"/>
      <c r="D15" s="18" t="s">
        <v>23</v>
      </c>
    </row>
    <row r="16" spans="1:9" x14ac:dyDescent="0.2">
      <c r="E16" s="94" t="s">
        <v>332</v>
      </c>
    </row>
    <row r="17" spans="1:5" x14ac:dyDescent="0.2">
      <c r="E17" s="94" t="s">
        <v>302</v>
      </c>
    </row>
    <row r="19" spans="1:5" ht="15.75" x14ac:dyDescent="0.25">
      <c r="A19" s="66"/>
      <c r="B19" s="66"/>
      <c r="C19" s="66"/>
      <c r="D19" s="18" t="s">
        <v>24</v>
      </c>
    </row>
    <row r="20" spans="1:5" x14ac:dyDescent="0.2">
      <c r="E20" s="94" t="s">
        <v>237</v>
      </c>
    </row>
    <row r="22" spans="1:5" ht="15.75" x14ac:dyDescent="0.25">
      <c r="A22" s="66"/>
      <c r="B22" s="66"/>
      <c r="C22" s="66"/>
      <c r="D22" s="18" t="s">
        <v>25</v>
      </c>
    </row>
    <row r="23" spans="1:5" x14ac:dyDescent="0.2">
      <c r="E23" s="94" t="s">
        <v>228</v>
      </c>
    </row>
    <row r="24" spans="1:5" x14ac:dyDescent="0.2">
      <c r="E24" s="94" t="s">
        <v>216</v>
      </c>
    </row>
    <row r="25" spans="1:5" x14ac:dyDescent="0.2">
      <c r="E25" s="94" t="s">
        <v>229</v>
      </c>
    </row>
    <row r="26" spans="1:5" x14ac:dyDescent="0.2">
      <c r="E26" s="94" t="s">
        <v>253</v>
      </c>
    </row>
    <row r="28" spans="1:5" ht="15.75" x14ac:dyDescent="0.25">
      <c r="A28" s="66"/>
      <c r="B28" s="66"/>
      <c r="C28" s="66"/>
      <c r="D28" s="18" t="s">
        <v>26</v>
      </c>
    </row>
    <row r="29" spans="1:5" x14ac:dyDescent="0.2">
      <c r="E29" s="94" t="s">
        <v>238</v>
      </c>
    </row>
  </sheetData>
  <phoneticPr fontId="5" type="noConversion"/>
  <pageMargins left="1" right="1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Button 1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171450</xdr:rowOff>
                  </from>
                  <to>
                    <xdr:col>0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Button 1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2</xdr:row>
                    <xdr:rowOff>133350</xdr:rowOff>
                  </from>
                  <to>
                    <xdr:col>0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Button 1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4</xdr:row>
                    <xdr:rowOff>95250</xdr:rowOff>
                  </from>
                  <to>
                    <xdr:col>0</xdr:col>
                    <xdr:colOff>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Button 1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66675</xdr:rowOff>
                  </from>
                  <to>
                    <xdr:col>0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Button 1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Button 1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180975</xdr:rowOff>
                  </from>
                  <to>
                    <xdr:col>0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Button 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133350</xdr:rowOff>
                  </from>
                  <to>
                    <xdr:col>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Button 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0</xdr:col>
                    <xdr:colOff>0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34"/>
  <sheetViews>
    <sheetView defaultGridColor="0" topLeftCell="A17" colorId="22" zoomScale="75" workbookViewId="0">
      <selection activeCell="L22" sqref="L22:U22"/>
    </sheetView>
  </sheetViews>
  <sheetFormatPr defaultColWidth="9.77734375" defaultRowHeight="15" x14ac:dyDescent="0.2"/>
  <cols>
    <col min="1" max="1" width="4.77734375" style="94" customWidth="1"/>
    <col min="2" max="2" width="19.77734375" style="292" customWidth="1"/>
    <col min="3" max="3" width="11.77734375" style="94" customWidth="1"/>
    <col min="4" max="6" width="4.77734375" style="94" customWidth="1"/>
    <col min="7" max="7" width="9.77734375" style="94"/>
    <col min="8" max="8" width="10.109375" style="94" customWidth="1"/>
    <col min="9" max="9" width="7.77734375" style="94" customWidth="1"/>
    <col min="10" max="10" width="13.77734375" style="94" customWidth="1"/>
    <col min="11" max="11" width="5.77734375" style="94" customWidth="1"/>
    <col min="12" max="16384" width="9.77734375" style="94"/>
  </cols>
  <sheetData>
    <row r="1" spans="1:11" x14ac:dyDescent="0.2">
      <c r="A1" s="94" t="str">
        <f>General!D1</f>
        <v>BOND AMOUNT CALCULATION</v>
      </c>
      <c r="J1" s="95" t="str">
        <f>'1...Describe'!I1</f>
        <v>Rocky Mountain Mine</v>
      </c>
    </row>
    <row r="2" spans="1:11" x14ac:dyDescent="0.2">
      <c r="A2" s="94" t="str">
        <f>General!D2</f>
        <v>New Mexico Mining and Minerals Division</v>
      </c>
      <c r="J2" s="95" t="s">
        <v>27</v>
      </c>
    </row>
    <row r="3" spans="1:11" x14ac:dyDescent="0.2">
      <c r="A3" s="20" t="s">
        <v>28</v>
      </c>
      <c r="J3" s="96">
        <f ca="1">TODAY()</f>
        <v>43949</v>
      </c>
    </row>
    <row r="4" spans="1:11" x14ac:dyDescent="0.2">
      <c r="A4" s="20"/>
      <c r="J4" s="160" t="s">
        <v>273</v>
      </c>
      <c r="K4" s="168"/>
    </row>
    <row r="5" spans="1:11" x14ac:dyDescent="0.2">
      <c r="A5" s="20"/>
      <c r="J5" s="163"/>
      <c r="K5" s="168"/>
    </row>
    <row r="6" spans="1:11" ht="15.75" x14ac:dyDescent="0.25">
      <c r="A6" s="20"/>
      <c r="C6" s="21" t="s">
        <v>29</v>
      </c>
      <c r="D6" s="102"/>
      <c r="E6" s="102" t="s">
        <v>30</v>
      </c>
      <c r="F6" s="102"/>
      <c r="G6" s="227">
        <v>1.0069999999999999</v>
      </c>
      <c r="K6" s="168"/>
    </row>
    <row r="7" spans="1:11" ht="15.75" x14ac:dyDescent="0.25">
      <c r="A7" s="20"/>
      <c r="C7" s="22" t="s">
        <v>31</v>
      </c>
      <c r="D7" s="169" t="s">
        <v>32</v>
      </c>
      <c r="E7" s="169"/>
      <c r="F7" s="169"/>
      <c r="G7" s="170">
        <f>SUM(J15:J16)</f>
        <v>0</v>
      </c>
      <c r="K7" s="168"/>
    </row>
    <row r="8" spans="1:11" ht="15.75" x14ac:dyDescent="0.25">
      <c r="A8" s="20"/>
      <c r="C8" s="22"/>
      <c r="D8" s="169" t="s">
        <v>26</v>
      </c>
      <c r="E8" s="169"/>
      <c r="F8" s="169"/>
      <c r="G8" s="170">
        <f>SUM(J17:J18)*$G$6</f>
        <v>0</v>
      </c>
      <c r="K8" s="168"/>
    </row>
    <row r="9" spans="1:11" ht="15.75" x14ac:dyDescent="0.25">
      <c r="A9" s="20"/>
      <c r="C9" s="22"/>
      <c r="D9" s="169" t="s">
        <v>33</v>
      </c>
      <c r="E9" s="169"/>
      <c r="F9" s="169"/>
      <c r="G9" s="170">
        <f>SUM(J19:J22)</f>
        <v>2258</v>
      </c>
      <c r="K9" s="168"/>
    </row>
    <row r="10" spans="1:11" ht="15.75" x14ac:dyDescent="0.25">
      <c r="A10" s="20"/>
      <c r="C10" s="23" t="s">
        <v>224</v>
      </c>
      <c r="D10" s="171"/>
      <c r="E10" s="171"/>
      <c r="F10" s="171"/>
      <c r="G10" s="24">
        <f>SUM(G7:G9)*G6</f>
        <v>2273.8059999999996</v>
      </c>
      <c r="K10" s="168"/>
    </row>
    <row r="11" spans="1:11" x14ac:dyDescent="0.2">
      <c r="A11" s="20"/>
      <c r="J11" s="163"/>
      <c r="K11" s="168"/>
    </row>
    <row r="12" spans="1:11" x14ac:dyDescent="0.2">
      <c r="A12" s="20"/>
      <c r="I12" s="95" t="s">
        <v>35</v>
      </c>
      <c r="J12" s="95" t="s">
        <v>36</v>
      </c>
      <c r="K12" s="168"/>
    </row>
    <row r="13" spans="1:11" x14ac:dyDescent="0.2">
      <c r="A13" s="94" t="s">
        <v>37</v>
      </c>
      <c r="B13" s="292" t="s">
        <v>38</v>
      </c>
      <c r="C13" s="94" t="s">
        <v>39</v>
      </c>
      <c r="D13" s="94" t="s">
        <v>40</v>
      </c>
      <c r="G13" s="95" t="s">
        <v>41</v>
      </c>
      <c r="H13" s="103" t="s">
        <v>35</v>
      </c>
      <c r="I13" s="95" t="s">
        <v>42</v>
      </c>
      <c r="J13" s="95" t="s">
        <v>42</v>
      </c>
    </row>
    <row r="14" spans="1:11" x14ac:dyDescent="0.2">
      <c r="A14" s="26"/>
      <c r="B14" s="293"/>
      <c r="C14" s="172"/>
      <c r="D14" s="172"/>
      <c r="E14" s="173" t="s">
        <v>43</v>
      </c>
      <c r="F14" s="172"/>
      <c r="G14" s="172"/>
      <c r="H14" s="173"/>
      <c r="I14" s="174" t="s">
        <v>44</v>
      </c>
      <c r="J14" s="174" t="s">
        <v>45</v>
      </c>
    </row>
    <row r="15" spans="1:11" ht="31.5" x14ac:dyDescent="0.25">
      <c r="B15" s="294" t="s">
        <v>46</v>
      </c>
      <c r="G15" s="103">
        <v>0</v>
      </c>
    </row>
    <row r="16" spans="1:11" x14ac:dyDescent="0.2">
      <c r="G16" s="103"/>
    </row>
    <row r="17" spans="1:21" ht="31.5" x14ac:dyDescent="0.25">
      <c r="B17" s="294" t="s">
        <v>47</v>
      </c>
      <c r="G17" s="103">
        <v>0</v>
      </c>
    </row>
    <row r="18" spans="1:21" x14ac:dyDescent="0.2">
      <c r="G18" s="103"/>
      <c r="I18" s="175"/>
      <c r="J18" s="176"/>
    </row>
    <row r="19" spans="1:21" ht="31.5" x14ac:dyDescent="0.25">
      <c r="B19" s="294" t="s">
        <v>48</v>
      </c>
      <c r="G19" s="103"/>
      <c r="I19" s="175"/>
    </row>
    <row r="20" spans="1:21" ht="45" x14ac:dyDescent="0.2">
      <c r="B20" s="295" t="s">
        <v>336</v>
      </c>
      <c r="C20" s="158" t="s">
        <v>49</v>
      </c>
      <c r="G20" s="103">
        <v>1</v>
      </c>
      <c r="J20" s="177">
        <v>1290</v>
      </c>
      <c r="L20" s="158" t="s">
        <v>337</v>
      </c>
      <c r="M20" s="158"/>
      <c r="N20" s="158"/>
      <c r="O20" s="158"/>
      <c r="P20" s="158"/>
    </row>
    <row r="21" spans="1:21" ht="90" x14ac:dyDescent="0.2">
      <c r="B21" s="295" t="s">
        <v>335</v>
      </c>
      <c r="C21" s="158" t="s">
        <v>49</v>
      </c>
      <c r="G21" s="103">
        <v>1</v>
      </c>
      <c r="J21" s="94">
        <v>645</v>
      </c>
    </row>
    <row r="22" spans="1:21" ht="75.75" x14ac:dyDescent="0.25">
      <c r="B22" s="295" t="s">
        <v>334</v>
      </c>
      <c r="C22" s="158" t="s">
        <v>50</v>
      </c>
      <c r="G22" s="103" t="s">
        <v>338</v>
      </c>
      <c r="J22" s="94">
        <v>323</v>
      </c>
      <c r="L22" s="158" t="s">
        <v>339</v>
      </c>
      <c r="M22" s="158"/>
      <c r="N22" s="158"/>
      <c r="O22" s="158"/>
      <c r="P22" s="158"/>
      <c r="Q22" s="158"/>
      <c r="R22" s="158"/>
      <c r="S22" s="158"/>
      <c r="T22" s="158"/>
      <c r="U22" s="158"/>
    </row>
    <row r="23" spans="1:21" ht="15.75" x14ac:dyDescent="0.25">
      <c r="A23" s="169"/>
      <c r="G23" s="27" t="s">
        <v>51</v>
      </c>
      <c r="J23" s="28">
        <f>SUM(J20:J22)</f>
        <v>2258</v>
      </c>
    </row>
    <row r="24" spans="1:21" x14ac:dyDescent="0.2">
      <c r="A24" s="169"/>
      <c r="G24" s="176"/>
      <c r="H24" s="103"/>
      <c r="J24" s="176"/>
    </row>
    <row r="25" spans="1:21" x14ac:dyDescent="0.2">
      <c r="A25" s="169"/>
      <c r="G25" s="176"/>
      <c r="H25" s="103"/>
      <c r="J25" s="176"/>
    </row>
    <row r="27" spans="1:21" ht="15.75" x14ac:dyDescent="0.25">
      <c r="A27" s="140" t="s">
        <v>52</v>
      </c>
    </row>
    <row r="28" spans="1:21" ht="30" x14ac:dyDescent="0.2">
      <c r="B28" s="292" t="s">
        <v>230</v>
      </c>
    </row>
    <row r="29" spans="1:21" ht="75" x14ac:dyDescent="0.2">
      <c r="B29" s="292" t="s">
        <v>225</v>
      </c>
      <c r="C29" s="20"/>
      <c r="J29" s="20"/>
    </row>
    <row r="30" spans="1:21" x14ac:dyDescent="0.2">
      <c r="C30" s="94" t="s">
        <v>226</v>
      </c>
    </row>
    <row r="31" spans="1:21" x14ac:dyDescent="0.2">
      <c r="B31" s="292" t="s">
        <v>52</v>
      </c>
    </row>
    <row r="32" spans="1:21" x14ac:dyDescent="0.2">
      <c r="C32" s="157" t="s">
        <v>230</v>
      </c>
    </row>
    <row r="33" spans="3:13" x14ac:dyDescent="0.2">
      <c r="C33" s="94" t="s">
        <v>274</v>
      </c>
      <c r="H33" s="178">
        <v>1.0069999999999999</v>
      </c>
      <c r="K33" s="20"/>
      <c r="L33" s="291">
        <v>2.1499999999999998E-2</v>
      </c>
      <c r="M33" s="94" t="s">
        <v>292</v>
      </c>
    </row>
    <row r="34" spans="3:13" x14ac:dyDescent="0.2">
      <c r="E34" s="20"/>
      <c r="F34" s="20"/>
      <c r="G34" s="20"/>
      <c r="H34" s="20"/>
    </row>
  </sheetData>
  <phoneticPr fontId="5" type="noConversion"/>
  <pageMargins left="1" right="1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R18"/>
  <sheetViews>
    <sheetView defaultGridColor="0" topLeftCell="D2" colorId="22" zoomScale="75" workbookViewId="0">
      <selection activeCell="I16" sqref="I16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4.77734375" style="94" customWidth="1"/>
    <col min="5" max="5" width="59.5546875" style="94" customWidth="1"/>
    <col min="6" max="6" width="9.77734375" style="94"/>
    <col min="7" max="7" width="29.6640625" style="94" customWidth="1"/>
    <col min="8" max="8" width="11.77734375" style="94" customWidth="1"/>
    <col min="9" max="10" width="7.77734375" style="94" customWidth="1"/>
    <col min="11" max="11" width="11.77734375" style="94" customWidth="1"/>
    <col min="12" max="12" width="40.6640625" style="94" customWidth="1"/>
    <col min="13" max="16384" width="9.77734375" style="94"/>
  </cols>
  <sheetData>
    <row r="1" spans="1:18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66"/>
      <c r="I1" s="66"/>
      <c r="J1" s="66"/>
      <c r="K1" s="179" t="str">
        <f>General!F1</f>
        <v>Rocky Mountain Mine</v>
      </c>
    </row>
    <row r="2" spans="1:18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66"/>
      <c r="J2" s="66"/>
      <c r="K2" s="179" t="s">
        <v>53</v>
      </c>
    </row>
    <row r="3" spans="1:18" x14ac:dyDescent="0.2">
      <c r="A3" s="10"/>
      <c r="B3" s="10"/>
      <c r="C3" s="10"/>
      <c r="D3" s="5" t="s">
        <v>54</v>
      </c>
      <c r="E3" s="66"/>
      <c r="F3" s="66"/>
      <c r="G3" s="66"/>
      <c r="H3" s="66"/>
      <c r="I3" s="66"/>
      <c r="J3" s="66"/>
      <c r="K3" s="96">
        <f ca="1">TODAY()</f>
        <v>43949</v>
      </c>
    </row>
    <row r="4" spans="1:18" x14ac:dyDescent="0.2">
      <c r="A4" s="10"/>
      <c r="B4" s="10"/>
      <c r="C4" s="10"/>
      <c r="D4" s="5"/>
      <c r="E4" s="66"/>
      <c r="F4" s="66"/>
      <c r="G4" s="66"/>
      <c r="H4" s="66"/>
      <c r="I4" s="66"/>
      <c r="J4" s="66"/>
      <c r="K4" s="159" t="s">
        <v>273</v>
      </c>
    </row>
    <row r="5" spans="1:18" x14ac:dyDescent="0.2">
      <c r="A5" s="10"/>
      <c r="B5" s="10"/>
      <c r="C5" s="10"/>
      <c r="D5" s="5"/>
      <c r="E5" s="66"/>
      <c r="F5" s="66"/>
      <c r="G5" s="66"/>
      <c r="H5" s="66"/>
      <c r="I5" s="66"/>
      <c r="J5" s="168"/>
    </row>
    <row r="6" spans="1:18" x14ac:dyDescent="0.2">
      <c r="A6" s="10"/>
      <c r="B6" s="10"/>
      <c r="C6" s="10"/>
      <c r="D6" s="66"/>
      <c r="E6" s="66"/>
      <c r="F6" s="180"/>
      <c r="G6" s="180"/>
      <c r="H6" s="180"/>
      <c r="I6" s="180" t="s">
        <v>55</v>
      </c>
      <c r="J6" s="180"/>
      <c r="K6" s="180"/>
    </row>
    <row r="7" spans="1:18" x14ac:dyDescent="0.2">
      <c r="A7" s="10"/>
      <c r="B7" s="10"/>
      <c r="C7" s="10"/>
      <c r="D7" s="66"/>
      <c r="E7" s="66"/>
      <c r="F7" s="180" t="s">
        <v>56</v>
      </c>
      <c r="G7" s="180" t="s">
        <v>57</v>
      </c>
      <c r="H7" s="180" t="s">
        <v>58</v>
      </c>
      <c r="I7" s="180" t="s">
        <v>59</v>
      </c>
      <c r="J7" s="180" t="s">
        <v>60</v>
      </c>
      <c r="K7" s="180" t="s">
        <v>61</v>
      </c>
    </row>
    <row r="8" spans="1:18" ht="15.75" x14ac:dyDescent="0.25">
      <c r="A8" s="10"/>
      <c r="B8" s="10"/>
      <c r="C8" s="12"/>
      <c r="D8" s="71" t="s">
        <v>36</v>
      </c>
      <c r="E8" s="71" t="s">
        <v>38</v>
      </c>
      <c r="F8" s="181" t="s">
        <v>62</v>
      </c>
      <c r="G8" s="181"/>
      <c r="H8" s="181"/>
      <c r="I8" s="181" t="s">
        <v>43</v>
      </c>
      <c r="J8" s="181"/>
      <c r="K8" s="181"/>
    </row>
    <row r="9" spans="1:18" x14ac:dyDescent="0.2">
      <c r="A9" s="10"/>
      <c r="B9" s="10"/>
      <c r="C9" s="10"/>
      <c r="D9" s="180">
        <v>1</v>
      </c>
      <c r="E9" s="66" t="s">
        <v>303</v>
      </c>
      <c r="F9" s="182">
        <v>54307</v>
      </c>
      <c r="G9" s="105" t="s">
        <v>232</v>
      </c>
      <c r="H9" s="180" t="s">
        <v>63</v>
      </c>
      <c r="I9" s="182">
        <f>'5...Dozer'!F8</f>
        <v>50</v>
      </c>
      <c r="J9" s="104" t="s">
        <v>220</v>
      </c>
      <c r="K9" s="180" t="s">
        <v>64</v>
      </c>
    </row>
    <row r="10" spans="1:18" x14ac:dyDescent="0.2">
      <c r="A10" s="10"/>
      <c r="B10" s="10"/>
      <c r="C10" s="10"/>
      <c r="D10" s="180">
        <f>1+D9</f>
        <v>2</v>
      </c>
      <c r="E10" s="66" t="s">
        <v>304</v>
      </c>
      <c r="F10" s="182">
        <v>14060.2</v>
      </c>
      <c r="G10" s="105" t="s">
        <v>295</v>
      </c>
      <c r="H10" s="180" t="s">
        <v>65</v>
      </c>
      <c r="I10" s="182">
        <f>'5...Dozer'!F25</f>
        <v>500</v>
      </c>
      <c r="J10" s="104" t="s">
        <v>221</v>
      </c>
      <c r="K10" s="180" t="s">
        <v>64</v>
      </c>
      <c r="L10" s="274"/>
      <c r="M10" s="142"/>
      <c r="N10" s="142"/>
      <c r="O10" s="142"/>
      <c r="P10" s="142"/>
      <c r="Q10" s="142"/>
      <c r="R10" s="142"/>
    </row>
    <row r="11" spans="1:18" x14ac:dyDescent="0.2">
      <c r="A11" s="10"/>
      <c r="B11" s="10"/>
      <c r="C11" s="10"/>
      <c r="D11" s="180">
        <f>1+D10</f>
        <v>3</v>
      </c>
      <c r="E11" s="66" t="s">
        <v>305</v>
      </c>
      <c r="F11" s="182">
        <v>14060.2</v>
      </c>
      <c r="G11" s="105" t="s">
        <v>272</v>
      </c>
      <c r="H11" s="180" t="s">
        <v>231</v>
      </c>
      <c r="I11" s="103">
        <v>1000</v>
      </c>
      <c r="J11" s="104" t="s">
        <v>221</v>
      </c>
      <c r="K11" s="103" t="s">
        <v>246</v>
      </c>
    </row>
    <row r="12" spans="1:18" x14ac:dyDescent="0.2">
      <c r="A12" s="10"/>
      <c r="B12" s="10"/>
      <c r="C12" s="10"/>
    </row>
    <row r="13" spans="1:18" x14ac:dyDescent="0.2">
      <c r="A13" s="10"/>
      <c r="B13" s="10"/>
      <c r="C13" s="10"/>
    </row>
    <row r="14" spans="1:18" x14ac:dyDescent="0.2">
      <c r="A14" s="10"/>
      <c r="B14" s="10"/>
      <c r="C14" s="10"/>
    </row>
    <row r="15" spans="1:18" x14ac:dyDescent="0.2">
      <c r="A15" s="10"/>
      <c r="B15" s="10"/>
      <c r="C15" s="10"/>
    </row>
    <row r="16" spans="1:18" x14ac:dyDescent="0.2">
      <c r="A16" s="10"/>
      <c r="B16" s="10"/>
      <c r="C16" s="10"/>
    </row>
    <row r="17" spans="1:3" x14ac:dyDescent="0.2">
      <c r="A17" s="10"/>
      <c r="B17" s="10"/>
      <c r="C17" s="10"/>
    </row>
    <row r="18" spans="1:3" x14ac:dyDescent="0.2">
      <c r="A18" s="10"/>
      <c r="B18" s="10"/>
      <c r="C18" s="10"/>
    </row>
  </sheetData>
  <phoneticPr fontId="5" type="noConversion"/>
  <pageMargins left="1" right="1" top="1" bottom="1" header="0.5" footer="0.5"/>
  <pageSetup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Button 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Button 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Button 2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Button 2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Button 2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Button 2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" name="Button 2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Button 2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0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Button 2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Button 2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Y24"/>
  <sheetViews>
    <sheetView defaultGridColor="0" topLeftCell="D1" colorId="22" zoomScale="75" workbookViewId="0">
      <selection activeCell="F10" sqref="F10"/>
    </sheetView>
  </sheetViews>
  <sheetFormatPr defaultColWidth="9.77734375" defaultRowHeight="15" x14ac:dyDescent="0.2"/>
  <cols>
    <col min="1" max="1" width="1.77734375" hidden="1" customWidth="1"/>
    <col min="2" max="2" width="11.77734375" hidden="1" customWidth="1"/>
    <col min="3" max="3" width="1.77734375" hidden="1" customWidth="1"/>
    <col min="4" max="4" width="23.77734375" customWidth="1"/>
    <col min="5" max="5" width="44.5546875" customWidth="1"/>
    <col min="6" max="6" width="8.21875" customWidth="1"/>
  </cols>
  <sheetData>
    <row r="1" spans="1:25" x14ac:dyDescent="0.2">
      <c r="A1" s="2"/>
      <c r="B1" s="2"/>
      <c r="C1" s="2"/>
      <c r="D1" t="str">
        <f>General!D1</f>
        <v>BOND AMOUNT CALCULATION</v>
      </c>
      <c r="I1" t="str">
        <f>General!F1</f>
        <v>Rocky Mountain Mine</v>
      </c>
    </row>
    <row r="2" spans="1:25" x14ac:dyDescent="0.2">
      <c r="A2" s="2"/>
      <c r="B2" s="2"/>
      <c r="C2" s="2"/>
      <c r="D2" t="str">
        <f>General!D2</f>
        <v>New Mexico Mining and Minerals Division</v>
      </c>
      <c r="I2" t="s">
        <v>66</v>
      </c>
    </row>
    <row r="3" spans="1:25" x14ac:dyDescent="0.2">
      <c r="A3" s="2"/>
      <c r="B3" s="2"/>
      <c r="C3" s="2"/>
      <c r="D3" s="5" t="s">
        <v>67</v>
      </c>
      <c r="E3" s="1"/>
      <c r="F3" s="1"/>
      <c r="G3" s="1"/>
      <c r="H3" s="1"/>
      <c r="I3" s="4">
        <f ca="1">TODAY()</f>
        <v>43949</v>
      </c>
    </row>
    <row r="4" spans="1:25" x14ac:dyDescent="0.2">
      <c r="A4" s="2"/>
      <c r="B4" s="2"/>
      <c r="C4" s="2"/>
      <c r="I4" s="158" t="s">
        <v>273</v>
      </c>
    </row>
    <row r="5" spans="1:25" x14ac:dyDescent="0.2">
      <c r="A5" s="2"/>
      <c r="B5" s="2"/>
      <c r="C5" s="2"/>
    </row>
    <row r="6" spans="1:25" x14ac:dyDescent="0.2">
      <c r="A6" s="2"/>
      <c r="B6" s="2"/>
      <c r="C6" s="2"/>
      <c r="F6" s="25"/>
      <c r="G6" s="25" t="s">
        <v>68</v>
      </c>
      <c r="H6" s="25" t="s">
        <v>69</v>
      </c>
      <c r="I6" s="25"/>
    </row>
    <row r="7" spans="1:25" x14ac:dyDescent="0.2">
      <c r="A7" s="2"/>
      <c r="B7" s="2"/>
      <c r="C7" s="10"/>
      <c r="F7" s="25" t="s">
        <v>37</v>
      </c>
      <c r="G7" s="25" t="s">
        <v>70</v>
      </c>
      <c r="H7" s="25" t="s">
        <v>71</v>
      </c>
      <c r="I7" s="25" t="s">
        <v>56</v>
      </c>
    </row>
    <row r="8" spans="1:25" ht="15.75" x14ac:dyDescent="0.25">
      <c r="A8" s="2"/>
      <c r="B8" s="2"/>
      <c r="C8" s="12"/>
      <c r="D8" s="113" t="s">
        <v>35</v>
      </c>
      <c r="E8" s="113" t="s">
        <v>38</v>
      </c>
      <c r="F8" s="114" t="s">
        <v>72</v>
      </c>
      <c r="G8" s="114" t="s">
        <v>43</v>
      </c>
      <c r="H8" s="114"/>
      <c r="I8" s="115" t="s">
        <v>62</v>
      </c>
    </row>
    <row r="9" spans="1:25" x14ac:dyDescent="0.2">
      <c r="A9" s="2"/>
      <c r="B9" s="2"/>
      <c r="C9" s="10"/>
      <c r="D9" s="110" t="s">
        <v>320</v>
      </c>
      <c r="E9" s="110" t="s">
        <v>249</v>
      </c>
      <c r="F9" s="111">
        <v>2.4</v>
      </c>
      <c r="G9" s="138" t="s">
        <v>236</v>
      </c>
      <c r="H9" s="112">
        <v>1</v>
      </c>
      <c r="I9" s="281">
        <v>54307</v>
      </c>
      <c r="J9" s="182"/>
    </row>
    <row r="10" spans="1:25" x14ac:dyDescent="0.2">
      <c r="A10" s="2"/>
      <c r="B10" s="2"/>
      <c r="C10" s="10"/>
      <c r="D10" s="110" t="s">
        <v>320</v>
      </c>
      <c r="E10" s="110" t="s">
        <v>241</v>
      </c>
      <c r="F10" s="112">
        <v>11.62</v>
      </c>
      <c r="G10" s="111">
        <v>1</v>
      </c>
      <c r="H10" s="112">
        <v>1</v>
      </c>
      <c r="I10" s="281">
        <v>14060.2</v>
      </c>
      <c r="J10" s="182"/>
      <c r="K10" s="142"/>
      <c r="L10" s="142"/>
      <c r="M10" s="142"/>
      <c r="N10" s="142"/>
      <c r="O10" s="142"/>
      <c r="P10" s="142"/>
      <c r="Q10" s="275"/>
      <c r="R10" s="275"/>
      <c r="S10" s="275"/>
      <c r="T10" s="275"/>
      <c r="U10" s="275"/>
      <c r="V10" s="275"/>
      <c r="W10" s="275"/>
      <c r="X10" s="275"/>
      <c r="Y10" s="275"/>
    </row>
    <row r="11" spans="1:25" x14ac:dyDescent="0.2">
      <c r="A11" s="2"/>
      <c r="B11" s="2"/>
      <c r="C11" s="10"/>
      <c r="D11" s="110" t="s">
        <v>316</v>
      </c>
      <c r="E11" s="110" t="s">
        <v>305</v>
      </c>
      <c r="F11" s="112">
        <v>1.05</v>
      </c>
      <c r="G11" s="139">
        <v>0.75</v>
      </c>
      <c r="H11" s="112">
        <v>1</v>
      </c>
      <c r="I11" s="281">
        <v>14060.2</v>
      </c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spans="1:25" x14ac:dyDescent="0.2">
      <c r="A12" s="2"/>
      <c r="B12" s="2"/>
      <c r="C12" s="10"/>
      <c r="D12" s="1"/>
      <c r="E12" s="1"/>
      <c r="F12" s="109"/>
      <c r="G12" s="29"/>
      <c r="H12" s="108"/>
      <c r="I12" s="107"/>
    </row>
    <row r="13" spans="1:25" x14ac:dyDescent="0.2">
      <c r="A13" s="2"/>
      <c r="B13" s="2"/>
      <c r="C13" s="10"/>
      <c r="D13" s="66"/>
      <c r="E13" s="1"/>
      <c r="F13" s="109"/>
      <c r="G13" s="29"/>
      <c r="H13" s="108"/>
      <c r="I13" s="107"/>
    </row>
    <row r="14" spans="1:25" ht="15.75" x14ac:dyDescent="0.25">
      <c r="A14" s="2"/>
      <c r="B14" s="2"/>
      <c r="C14" s="10"/>
      <c r="D14" s="66"/>
      <c r="E14" s="140" t="s">
        <v>240</v>
      </c>
      <c r="F14" s="109"/>
      <c r="G14" s="29"/>
      <c r="H14" s="108"/>
      <c r="I14" s="107"/>
      <c r="R14" s="112"/>
    </row>
    <row r="15" spans="1:25" x14ac:dyDescent="0.2">
      <c r="A15" s="2"/>
      <c r="B15" s="2"/>
      <c r="C15" s="10"/>
      <c r="E15" s="94" t="s">
        <v>306</v>
      </c>
    </row>
    <row r="16" spans="1:25" x14ac:dyDescent="0.2">
      <c r="A16" s="2"/>
      <c r="B16" s="2"/>
      <c r="C16" s="10"/>
      <c r="E16" s="94" t="s">
        <v>309</v>
      </c>
    </row>
    <row r="17" spans="1:9" x14ac:dyDescent="0.2">
      <c r="A17" s="2"/>
      <c r="B17" s="2"/>
      <c r="C17" s="10"/>
      <c r="E17" s="94"/>
    </row>
    <row r="18" spans="1:9" x14ac:dyDescent="0.2">
      <c r="A18" s="2"/>
      <c r="B18" s="2"/>
      <c r="C18" s="10"/>
      <c r="E18" s="94" t="s">
        <v>318</v>
      </c>
    </row>
    <row r="19" spans="1:9" x14ac:dyDescent="0.2">
      <c r="A19" s="2"/>
      <c r="B19" s="2"/>
      <c r="C19" s="10"/>
      <c r="E19" s="94" t="s">
        <v>308</v>
      </c>
    </row>
    <row r="20" spans="1:9" x14ac:dyDescent="0.2">
      <c r="A20" s="2"/>
      <c r="B20" s="2"/>
      <c r="C20" s="10"/>
    </row>
    <row r="21" spans="1:9" x14ac:dyDescent="0.2">
      <c r="A21" s="2"/>
      <c r="B21" s="2"/>
      <c r="C21" s="2"/>
      <c r="E21" s="337" t="s">
        <v>307</v>
      </c>
      <c r="F21" s="337"/>
      <c r="G21" s="337"/>
      <c r="H21" s="337"/>
      <c r="I21" s="337"/>
    </row>
    <row r="22" spans="1:9" x14ac:dyDescent="0.2">
      <c r="E22" s="94" t="s">
        <v>248</v>
      </c>
    </row>
    <row r="24" spans="1:9" ht="15.75" x14ac:dyDescent="0.25">
      <c r="E24" s="276"/>
    </row>
  </sheetData>
  <mergeCells count="1">
    <mergeCell ref="E21:I21"/>
  </mergeCells>
  <phoneticPr fontId="5" type="noConversion"/>
  <pageMargins left="1" right="1" top="1" bottom="1" header="0.5" footer="0.5"/>
  <pageSetup scale="8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5" r:id="rId4" name="Button 2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5" name="Button 3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6" name="Button 3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7" name="Button 3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8" name="Button 3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9" name="Button 3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Button 3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Button 3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Button 3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Button 3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9525</xdr:rowOff>
                  </from>
                  <to>
                    <xdr:col>0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T38"/>
  <sheetViews>
    <sheetView defaultGridColor="0" topLeftCell="D11" colorId="22" zoomScale="75" workbookViewId="0">
      <selection activeCell="H28" sqref="H28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21.44140625" style="94" customWidth="1"/>
    <col min="5" max="5" width="17.5546875" style="94" customWidth="1"/>
    <col min="6" max="6" width="9.109375" style="94" customWidth="1"/>
    <col min="7" max="7" width="15.5546875" style="94" customWidth="1"/>
    <col min="8" max="8" width="12" style="94" customWidth="1"/>
    <col min="9" max="9" width="18.6640625" style="94" customWidth="1"/>
    <col min="10" max="10" width="5.77734375" style="94" customWidth="1"/>
    <col min="11" max="11" width="11.77734375" style="94" customWidth="1"/>
    <col min="12" max="16384" width="9.77734375" style="94"/>
  </cols>
  <sheetData>
    <row r="1" spans="1:9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66"/>
      <c r="I1" s="179" t="str">
        <f>General!F1</f>
        <v>Rocky Mountain Mine</v>
      </c>
    </row>
    <row r="2" spans="1:9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179" t="s">
        <v>73</v>
      </c>
    </row>
    <row r="3" spans="1:9" x14ac:dyDescent="0.2">
      <c r="A3" s="10"/>
      <c r="B3" s="10"/>
      <c r="C3" s="10"/>
      <c r="D3" s="5" t="s">
        <v>74</v>
      </c>
      <c r="E3" s="66"/>
      <c r="F3" s="66"/>
      <c r="G3" s="66"/>
      <c r="H3" s="66"/>
      <c r="I3" s="96">
        <f ca="1">TODAY()</f>
        <v>43949</v>
      </c>
    </row>
    <row r="4" spans="1:9" x14ac:dyDescent="0.2">
      <c r="A4" s="10"/>
      <c r="B4" s="10"/>
      <c r="C4" s="10"/>
      <c r="D4" s="5"/>
      <c r="E4" s="66"/>
      <c r="F4" s="66"/>
      <c r="G4" s="66"/>
      <c r="H4" s="66"/>
      <c r="I4" s="162" t="s">
        <v>273</v>
      </c>
    </row>
    <row r="5" spans="1:9" ht="15.75" x14ac:dyDescent="0.25">
      <c r="A5" s="10"/>
      <c r="B5" s="10"/>
      <c r="C5" s="10"/>
      <c r="D5" s="90" t="s">
        <v>75</v>
      </c>
      <c r="E5" s="116" t="str">
        <f>'3...Material'!E9</f>
        <v>Reduce Slopes, BLM (E3)</v>
      </c>
      <c r="F5" s="116"/>
      <c r="G5" s="116"/>
      <c r="H5" s="116"/>
      <c r="I5" s="183"/>
    </row>
    <row r="6" spans="1:9" ht="15.75" x14ac:dyDescent="0.25">
      <c r="A6" s="10"/>
      <c r="B6" s="10"/>
      <c r="C6" s="10"/>
      <c r="D6" s="91"/>
      <c r="E6" s="126"/>
      <c r="F6" s="126"/>
      <c r="G6" s="126"/>
      <c r="H6" s="126"/>
      <c r="I6" s="184"/>
    </row>
    <row r="7" spans="1:9" ht="15.75" x14ac:dyDescent="0.25">
      <c r="A7" s="10"/>
      <c r="B7" s="10"/>
      <c r="C7" s="10"/>
      <c r="D7" s="91" t="s">
        <v>76</v>
      </c>
      <c r="E7" s="89" t="s">
        <v>319</v>
      </c>
      <c r="F7" s="67"/>
      <c r="G7" s="67"/>
      <c r="H7" s="68"/>
      <c r="I7" s="184"/>
    </row>
    <row r="8" spans="1:9" ht="15.75" x14ac:dyDescent="0.25">
      <c r="A8" s="10"/>
      <c r="B8" s="10"/>
      <c r="C8" s="12"/>
      <c r="D8" s="143"/>
      <c r="E8" s="143" t="s">
        <v>243</v>
      </c>
      <c r="F8" s="144">
        <v>50</v>
      </c>
      <c r="G8" s="144"/>
      <c r="H8" s="185"/>
      <c r="I8" s="184"/>
    </row>
    <row r="9" spans="1:9" x14ac:dyDescent="0.2">
      <c r="A9" s="10"/>
      <c r="B9" s="10"/>
      <c r="C9" s="10"/>
      <c r="D9" s="143"/>
      <c r="E9" s="70" t="s">
        <v>77</v>
      </c>
      <c r="F9" s="71"/>
      <c r="G9" s="71"/>
      <c r="H9" s="72"/>
      <c r="I9" s="184"/>
    </row>
    <row r="10" spans="1:9" x14ac:dyDescent="0.2">
      <c r="A10" s="10"/>
      <c r="B10" s="10"/>
      <c r="C10" s="10"/>
      <c r="D10" s="186"/>
      <c r="E10" s="126"/>
      <c r="F10" s="126"/>
      <c r="G10" s="126"/>
      <c r="H10" s="126"/>
      <c r="I10" s="184"/>
    </row>
    <row r="11" spans="1:9" ht="15.75" x14ac:dyDescent="0.25">
      <c r="A11" s="10"/>
      <c r="B11" s="10"/>
      <c r="C11" s="10"/>
      <c r="D11" s="34" t="s">
        <v>56</v>
      </c>
      <c r="E11" s="35">
        <f>'3...Material'!F9</f>
        <v>54307</v>
      </c>
      <c r="F11" s="36" t="s">
        <v>78</v>
      </c>
      <c r="G11" s="37" t="s">
        <v>79</v>
      </c>
      <c r="H11" s="35">
        <f>E11/H12</f>
        <v>16.227704347826087</v>
      </c>
      <c r="I11" s="38" t="s">
        <v>80</v>
      </c>
    </row>
    <row r="12" spans="1:9" ht="15.75" x14ac:dyDescent="0.25">
      <c r="A12" s="10"/>
      <c r="B12" s="10"/>
      <c r="C12" s="10"/>
      <c r="D12" s="84"/>
      <c r="E12" s="86"/>
      <c r="F12" s="86"/>
      <c r="G12" s="41" t="s">
        <v>81</v>
      </c>
      <c r="H12" s="42">
        <f>E18*H14*E14*H15/60*E15*2300/E16*E17*H16*H17*H18</f>
        <v>3346.5608465608466</v>
      </c>
      <c r="I12" s="43" t="s">
        <v>82</v>
      </c>
    </row>
    <row r="13" spans="1:9" ht="15.75" thickBot="1" x14ac:dyDescent="0.25">
      <c r="A13" s="10"/>
      <c r="B13" s="10"/>
      <c r="C13" s="10"/>
      <c r="D13" s="74" t="s">
        <v>83</v>
      </c>
      <c r="E13" s="75"/>
      <c r="F13" s="75"/>
      <c r="G13" s="75"/>
      <c r="H13" s="75"/>
      <c r="I13" s="187"/>
    </row>
    <row r="14" spans="1:9" ht="15.75" thickTop="1" x14ac:dyDescent="0.2">
      <c r="A14" s="10"/>
      <c r="B14" s="10"/>
      <c r="C14" s="10"/>
      <c r="D14" s="76" t="s">
        <v>84</v>
      </c>
      <c r="E14" s="188">
        <v>1</v>
      </c>
      <c r="F14" s="188"/>
      <c r="G14" s="189" t="s">
        <v>85</v>
      </c>
      <c r="H14" s="190">
        <v>0.75</v>
      </c>
      <c r="I14" s="185"/>
    </row>
    <row r="15" spans="1:9" x14ac:dyDescent="0.2">
      <c r="A15" s="10"/>
      <c r="B15" s="10"/>
      <c r="C15" s="10"/>
      <c r="D15" s="76" t="s">
        <v>86</v>
      </c>
      <c r="E15" s="188">
        <v>1.6</v>
      </c>
      <c r="F15" s="188"/>
      <c r="G15" s="189" t="s">
        <v>87</v>
      </c>
      <c r="H15" s="191">
        <v>50</v>
      </c>
      <c r="I15" s="192" t="s">
        <v>88</v>
      </c>
    </row>
    <row r="16" spans="1:9" x14ac:dyDescent="0.2">
      <c r="A16" s="10"/>
      <c r="B16" s="10"/>
      <c r="C16" s="10"/>
      <c r="D16" s="76" t="s">
        <v>89</v>
      </c>
      <c r="E16" s="193">
        <v>1512</v>
      </c>
      <c r="F16" s="193" t="s">
        <v>90</v>
      </c>
      <c r="G16" s="189" t="s">
        <v>91</v>
      </c>
      <c r="H16" s="190">
        <v>1</v>
      </c>
      <c r="I16" s="185"/>
    </row>
    <row r="17" spans="1:20" x14ac:dyDescent="0.2">
      <c r="A17" s="10"/>
      <c r="B17" s="10"/>
      <c r="C17" s="10"/>
      <c r="D17" s="76" t="s">
        <v>92</v>
      </c>
      <c r="E17" s="188">
        <v>1</v>
      </c>
      <c r="F17" s="189"/>
      <c r="G17" s="189" t="s">
        <v>93</v>
      </c>
      <c r="H17" s="190">
        <v>1</v>
      </c>
      <c r="I17" s="185"/>
    </row>
    <row r="18" spans="1:20" x14ac:dyDescent="0.2">
      <c r="A18" s="10"/>
      <c r="B18" s="10"/>
      <c r="C18" s="10"/>
      <c r="D18" s="84" t="s">
        <v>94</v>
      </c>
      <c r="E18" s="194">
        <v>2200</v>
      </c>
      <c r="F18" s="86" t="s">
        <v>95</v>
      </c>
      <c r="G18" s="86" t="s">
        <v>96</v>
      </c>
      <c r="H18" s="195">
        <v>1</v>
      </c>
      <c r="I18" s="72"/>
      <c r="K18" s="158" t="s">
        <v>296</v>
      </c>
      <c r="L18" s="158"/>
      <c r="M18" s="158"/>
      <c r="N18" s="158"/>
      <c r="O18" s="158"/>
      <c r="P18" s="158"/>
      <c r="Q18" s="158"/>
      <c r="R18" s="158"/>
      <c r="S18" s="158"/>
    </row>
    <row r="19" spans="1:20" x14ac:dyDescent="0.2">
      <c r="A19" s="10"/>
      <c r="B19" s="10"/>
      <c r="C19" s="10"/>
    </row>
    <row r="20" spans="1:20" x14ac:dyDescent="0.2">
      <c r="A20" s="10"/>
      <c r="B20" s="10"/>
      <c r="C20" s="10"/>
    </row>
    <row r="21" spans="1:20" x14ac:dyDescent="0.2">
      <c r="A21" s="10"/>
      <c r="B21" s="10"/>
      <c r="C21" s="10"/>
    </row>
    <row r="22" spans="1:20" ht="15.75" x14ac:dyDescent="0.25">
      <c r="A22" s="66"/>
      <c r="B22" s="66"/>
      <c r="C22" s="66"/>
      <c r="D22" s="90" t="s">
        <v>75</v>
      </c>
      <c r="E22" s="116" t="str">
        <f>'3...Material'!E10</f>
        <v>Cover Pit Bottom, BLM (E3)</v>
      </c>
      <c r="F22" s="116"/>
      <c r="G22" s="116"/>
      <c r="H22" s="116"/>
      <c r="I22" s="183"/>
    </row>
    <row r="23" spans="1:20" ht="15.75" x14ac:dyDescent="0.25">
      <c r="A23" s="66"/>
      <c r="B23" s="66"/>
      <c r="C23" s="66"/>
      <c r="D23" s="91"/>
      <c r="E23" s="126"/>
      <c r="F23" s="126"/>
      <c r="G23" s="126"/>
      <c r="H23" s="126"/>
      <c r="I23" s="184"/>
    </row>
    <row r="24" spans="1:20" ht="15.75" x14ac:dyDescent="0.25">
      <c r="A24" s="66"/>
      <c r="B24" s="66"/>
      <c r="C24" s="66"/>
      <c r="D24" s="91" t="s">
        <v>76</v>
      </c>
      <c r="E24" s="89" t="s">
        <v>310</v>
      </c>
      <c r="F24" s="67"/>
      <c r="G24" s="67"/>
      <c r="H24" s="68"/>
      <c r="I24" s="184"/>
    </row>
    <row r="25" spans="1:20" x14ac:dyDescent="0.2">
      <c r="A25" s="66"/>
      <c r="B25" s="66"/>
      <c r="C25" s="66"/>
      <c r="D25" s="143"/>
      <c r="E25" s="143" t="s">
        <v>243</v>
      </c>
      <c r="F25" s="144">
        <v>500</v>
      </c>
      <c r="G25" s="144"/>
      <c r="H25" s="185"/>
      <c r="I25" s="184"/>
      <c r="K25" s="158" t="s">
        <v>293</v>
      </c>
      <c r="L25" s="158"/>
      <c r="M25" s="158"/>
      <c r="N25" s="158"/>
      <c r="O25" s="158"/>
      <c r="P25" s="158"/>
      <c r="Q25" s="158"/>
      <c r="R25" s="158"/>
      <c r="S25" s="158"/>
      <c r="T25" s="158"/>
    </row>
    <row r="26" spans="1:20" x14ac:dyDescent="0.2">
      <c r="A26" s="66"/>
      <c r="B26" s="66"/>
      <c r="C26" s="66"/>
      <c r="D26" s="143"/>
      <c r="E26" s="70" t="s">
        <v>77</v>
      </c>
      <c r="F26" s="71"/>
      <c r="G26" s="71"/>
      <c r="H26" s="72"/>
      <c r="I26" s="184"/>
      <c r="K26" s="158" t="s">
        <v>297</v>
      </c>
      <c r="L26" s="158"/>
      <c r="M26" s="158"/>
      <c r="N26" s="158"/>
      <c r="O26" s="158"/>
      <c r="P26" s="158"/>
      <c r="Q26" s="158"/>
      <c r="R26" s="158"/>
      <c r="S26" s="158"/>
      <c r="T26" s="158"/>
    </row>
    <row r="27" spans="1:20" x14ac:dyDescent="0.2">
      <c r="D27" s="186"/>
      <c r="E27" s="126"/>
      <c r="F27" s="126"/>
      <c r="G27" s="126"/>
      <c r="H27" s="126"/>
      <c r="I27" s="184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0" ht="15.75" x14ac:dyDescent="0.25">
      <c r="A28" s="66"/>
      <c r="B28" s="66"/>
      <c r="C28" s="66"/>
      <c r="D28" s="34" t="s">
        <v>56</v>
      </c>
      <c r="E28" s="35">
        <f>'3...Material'!F10</f>
        <v>14060.2</v>
      </c>
      <c r="F28" s="36" t="s">
        <v>78</v>
      </c>
      <c r="G28" s="37" t="s">
        <v>79</v>
      </c>
      <c r="H28" s="35">
        <f>E28/H29</f>
        <v>30.81017739130435</v>
      </c>
      <c r="I28" s="38" t="s">
        <v>80</v>
      </c>
    </row>
    <row r="29" spans="1:20" ht="15.75" x14ac:dyDescent="0.25">
      <c r="A29" s="66"/>
      <c r="B29" s="66"/>
      <c r="C29" s="66"/>
      <c r="D29" s="84"/>
      <c r="E29" s="86"/>
      <c r="F29" s="86"/>
      <c r="G29" s="41" t="s">
        <v>81</v>
      </c>
      <c r="H29" s="42">
        <f>E35*H31*E31*H32/60*E32*2300/E33*E34*H33*H34*H35</f>
        <v>456.34920634920633</v>
      </c>
      <c r="I29" s="43" t="s">
        <v>82</v>
      </c>
    </row>
    <row r="30" spans="1:20" ht="15.75" thickBot="1" x14ac:dyDescent="0.25">
      <c r="A30" s="66"/>
      <c r="B30" s="66"/>
      <c r="C30" s="66"/>
      <c r="D30" s="74" t="s">
        <v>83</v>
      </c>
      <c r="E30" s="75"/>
      <c r="F30" s="75"/>
      <c r="G30" s="75"/>
      <c r="H30" s="75"/>
      <c r="I30" s="187"/>
    </row>
    <row r="31" spans="1:20" ht="15.75" thickTop="1" x14ac:dyDescent="0.2">
      <c r="A31" s="66"/>
      <c r="B31" s="66"/>
      <c r="C31" s="66"/>
      <c r="D31" s="76" t="s">
        <v>84</v>
      </c>
      <c r="E31" s="188">
        <v>1</v>
      </c>
      <c r="F31" s="188"/>
      <c r="G31" s="189" t="s">
        <v>85</v>
      </c>
      <c r="H31" s="190">
        <v>0.75</v>
      </c>
      <c r="I31" s="185"/>
    </row>
    <row r="32" spans="1:20" x14ac:dyDescent="0.2">
      <c r="A32" s="66"/>
      <c r="B32" s="66"/>
      <c r="C32" s="66"/>
      <c r="D32" s="76" t="s">
        <v>86</v>
      </c>
      <c r="E32" s="188">
        <v>1.6</v>
      </c>
      <c r="F32" s="188"/>
      <c r="G32" s="189" t="s">
        <v>87</v>
      </c>
      <c r="H32" s="191">
        <v>50</v>
      </c>
      <c r="I32" s="192" t="s">
        <v>88</v>
      </c>
    </row>
    <row r="33" spans="1:20" x14ac:dyDescent="0.2">
      <c r="A33" s="66"/>
      <c r="B33" s="66"/>
      <c r="C33" s="66"/>
      <c r="D33" s="76" t="s">
        <v>89</v>
      </c>
      <c r="E33" s="193">
        <v>1512</v>
      </c>
      <c r="F33" s="193" t="s">
        <v>90</v>
      </c>
      <c r="G33" s="189" t="s">
        <v>91</v>
      </c>
      <c r="H33" s="190">
        <v>1</v>
      </c>
      <c r="I33" s="185"/>
    </row>
    <row r="34" spans="1:20" x14ac:dyDescent="0.2">
      <c r="A34" s="66"/>
      <c r="B34" s="66"/>
      <c r="C34" s="66"/>
      <c r="D34" s="76" t="s">
        <v>92</v>
      </c>
      <c r="E34" s="188">
        <v>1</v>
      </c>
      <c r="F34" s="189"/>
      <c r="G34" s="189" t="s">
        <v>93</v>
      </c>
      <c r="H34" s="190">
        <v>1</v>
      </c>
      <c r="I34" s="185"/>
    </row>
    <row r="35" spans="1:20" x14ac:dyDescent="0.2">
      <c r="A35" s="66"/>
      <c r="B35" s="66"/>
      <c r="C35" s="66"/>
      <c r="D35" s="84" t="s">
        <v>94</v>
      </c>
      <c r="E35" s="194">
        <v>300</v>
      </c>
      <c r="F35" s="86" t="s">
        <v>95</v>
      </c>
      <c r="G35" s="86" t="s">
        <v>96</v>
      </c>
      <c r="H35" s="195">
        <v>1</v>
      </c>
      <c r="I35" s="72"/>
      <c r="K35" s="158" t="s">
        <v>298</v>
      </c>
      <c r="L35" s="158"/>
      <c r="M35" s="158"/>
      <c r="N35" s="158"/>
      <c r="O35" s="158"/>
      <c r="P35" s="158"/>
      <c r="Q35" s="158"/>
      <c r="R35" s="158"/>
      <c r="S35" s="158"/>
      <c r="T35" s="158"/>
    </row>
    <row r="36" spans="1:20" x14ac:dyDescent="0.2">
      <c r="A36" s="66"/>
      <c r="B36" s="66"/>
      <c r="C36" s="66"/>
      <c r="I36" s="144"/>
    </row>
    <row r="38" spans="1:20" ht="15.75" x14ac:dyDescent="0.25">
      <c r="E38" s="142" t="s">
        <v>247</v>
      </c>
    </row>
  </sheetData>
  <phoneticPr fontId="5" type="noConversion"/>
  <pageMargins left="1" right="1" top="1" bottom="1" header="0.5" footer="0.5"/>
  <pageSetup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9" r:id="rId4" name="Button 3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5" name="Button 4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6" name="Button 4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7" name="Button 4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8" name="Button 4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9" name="Button 4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" name="Button 4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Button 4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Button 4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Button 4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N28"/>
  <sheetViews>
    <sheetView defaultGridColor="0" topLeftCell="D10" colorId="22" zoomScale="75" workbookViewId="0">
      <selection activeCell="E5" sqref="E5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20.5546875" style="94" customWidth="1"/>
    <col min="5" max="5" width="13.21875" style="94" customWidth="1"/>
    <col min="6" max="6" width="7.77734375" style="94" customWidth="1"/>
    <col min="7" max="7" width="19.44140625" style="94" customWidth="1"/>
    <col min="8" max="8" width="8.109375" style="94" customWidth="1"/>
    <col min="9" max="9" width="13.77734375" style="94" customWidth="1"/>
    <col min="10" max="10" width="5.77734375" style="94" customWidth="1"/>
    <col min="11" max="16384" width="9.77734375" style="94"/>
  </cols>
  <sheetData>
    <row r="1" spans="1:10" x14ac:dyDescent="0.2">
      <c r="A1" s="10"/>
      <c r="B1" s="10"/>
      <c r="C1" s="10"/>
      <c r="D1" s="66" t="str">
        <f>'1...Describe'!D1</f>
        <v>BOND AMOUNT CALCULATION</v>
      </c>
      <c r="E1" s="66"/>
      <c r="F1" s="66"/>
      <c r="G1" s="66"/>
      <c r="H1" s="66"/>
      <c r="I1" s="179" t="str">
        <f>General!F1</f>
        <v>Rocky Mountain Mine</v>
      </c>
    </row>
    <row r="2" spans="1:10" x14ac:dyDescent="0.2">
      <c r="A2" s="10"/>
      <c r="B2" s="10"/>
      <c r="C2" s="10"/>
      <c r="D2" s="66" t="str">
        <f>'1...Describe'!D2</f>
        <v>New Mexico Mining and Minerals Division</v>
      </c>
      <c r="E2" s="66"/>
      <c r="F2" s="66"/>
      <c r="G2" s="66"/>
      <c r="H2" s="66"/>
      <c r="I2" s="179" t="s">
        <v>97</v>
      </c>
    </row>
    <row r="3" spans="1:10" x14ac:dyDescent="0.2">
      <c r="A3" s="10"/>
      <c r="B3" s="10"/>
      <c r="C3" s="10"/>
      <c r="D3" s="5" t="s">
        <v>98</v>
      </c>
      <c r="E3" s="66"/>
      <c r="F3" s="66"/>
      <c r="G3" s="66"/>
      <c r="H3" s="66"/>
      <c r="I3" s="96">
        <f ca="1">TODAY()</f>
        <v>43949</v>
      </c>
    </row>
    <row r="4" spans="1:10" x14ac:dyDescent="0.2">
      <c r="A4" s="10"/>
      <c r="B4" s="10"/>
      <c r="C4" s="10"/>
      <c r="D4" s="5"/>
      <c r="E4" s="66"/>
      <c r="F4" s="66"/>
      <c r="G4" s="66"/>
      <c r="H4" s="66"/>
      <c r="I4" s="162" t="s">
        <v>273</v>
      </c>
      <c r="J4" s="168"/>
    </row>
    <row r="5" spans="1:10" ht="15.75" x14ac:dyDescent="0.25">
      <c r="A5" s="10"/>
      <c r="B5" s="10"/>
      <c r="C5" s="10"/>
      <c r="D5" s="120" t="s">
        <v>75</v>
      </c>
      <c r="E5" s="137" t="s">
        <v>321</v>
      </c>
      <c r="F5" s="137"/>
      <c r="G5" s="137"/>
      <c r="H5" s="137"/>
      <c r="I5" s="196"/>
    </row>
    <row r="6" spans="1:10" ht="15.75" x14ac:dyDescent="0.25">
      <c r="A6" s="10"/>
      <c r="B6" s="10"/>
      <c r="C6" s="10"/>
      <c r="D6" s="122"/>
      <c r="E6" s="126"/>
      <c r="F6" s="126"/>
      <c r="G6" s="126"/>
      <c r="H6" s="126"/>
      <c r="I6" s="127"/>
    </row>
    <row r="7" spans="1:10" ht="15.75" x14ac:dyDescent="0.25">
      <c r="A7" s="10"/>
      <c r="B7" s="10"/>
      <c r="C7" s="10"/>
      <c r="D7" s="122" t="s">
        <v>76</v>
      </c>
      <c r="E7" s="89" t="s">
        <v>254</v>
      </c>
      <c r="F7" s="67"/>
      <c r="G7" s="67"/>
      <c r="H7" s="68"/>
      <c r="I7" s="127"/>
    </row>
    <row r="8" spans="1:10" x14ac:dyDescent="0.2">
      <c r="A8" s="10"/>
      <c r="B8" s="10"/>
      <c r="C8" s="10"/>
      <c r="D8" s="123"/>
      <c r="E8" s="70" t="s">
        <v>276</v>
      </c>
      <c r="F8" s="71"/>
      <c r="G8" s="71"/>
      <c r="H8" s="72"/>
      <c r="I8" s="127"/>
    </row>
    <row r="9" spans="1:10" x14ac:dyDescent="0.2">
      <c r="A9" s="10"/>
      <c r="B9" s="10"/>
      <c r="C9" s="10"/>
      <c r="D9" s="125"/>
      <c r="E9" s="126"/>
      <c r="F9" s="126"/>
      <c r="G9" s="126"/>
      <c r="H9" s="126"/>
      <c r="I9" s="127"/>
    </row>
    <row r="10" spans="1:10" ht="15.75" x14ac:dyDescent="0.25">
      <c r="A10" s="10"/>
      <c r="B10" s="10"/>
      <c r="C10" s="10"/>
      <c r="D10" s="134" t="s">
        <v>37</v>
      </c>
      <c r="E10" s="118">
        <v>14.02</v>
      </c>
      <c r="F10" s="36" t="s">
        <v>99</v>
      </c>
      <c r="G10" s="37" t="s">
        <v>79</v>
      </c>
      <c r="H10" s="52">
        <f>E10/H11</f>
        <v>2.141891977954685</v>
      </c>
      <c r="I10" s="135" t="s">
        <v>80</v>
      </c>
    </row>
    <row r="11" spans="1:10" ht="15.75" x14ac:dyDescent="0.25">
      <c r="A11" s="10"/>
      <c r="B11" s="10"/>
      <c r="C11" s="10"/>
      <c r="D11" s="197"/>
      <c r="E11" s="86"/>
      <c r="F11" s="86"/>
      <c r="G11" s="41" t="s">
        <v>81</v>
      </c>
      <c r="H11" s="48">
        <f>E18*E17*5280/43560*H13*E13*H14/60*E14*2300/E15*E16*H15*H16*H17</f>
        <v>6.5456148789482116</v>
      </c>
      <c r="I11" s="136" t="s">
        <v>100</v>
      </c>
    </row>
    <row r="12" spans="1:10" ht="15.75" thickBot="1" x14ac:dyDescent="0.25">
      <c r="A12" s="10"/>
      <c r="B12" s="10"/>
      <c r="C12" s="10"/>
      <c r="D12" s="198" t="s">
        <v>83</v>
      </c>
      <c r="E12" s="75"/>
      <c r="F12" s="75"/>
      <c r="G12" s="75"/>
      <c r="H12" s="75"/>
      <c r="I12" s="199"/>
    </row>
    <row r="13" spans="1:10" ht="15.75" thickTop="1" x14ac:dyDescent="0.2">
      <c r="A13" s="10"/>
      <c r="B13" s="10"/>
      <c r="C13" s="10"/>
      <c r="D13" s="200" t="s">
        <v>84</v>
      </c>
      <c r="E13" s="188">
        <v>1</v>
      </c>
      <c r="F13" s="188"/>
      <c r="G13" s="189" t="s">
        <v>85</v>
      </c>
      <c r="H13" s="188">
        <v>0.75</v>
      </c>
      <c r="I13" s="201"/>
    </row>
    <row r="14" spans="1:10" x14ac:dyDescent="0.2">
      <c r="A14" s="10"/>
      <c r="B14" s="10"/>
      <c r="C14" s="10"/>
      <c r="D14" s="200" t="s">
        <v>86</v>
      </c>
      <c r="E14" s="188">
        <v>1</v>
      </c>
      <c r="F14" s="188"/>
      <c r="G14" s="189" t="s">
        <v>87</v>
      </c>
      <c r="H14" s="193">
        <v>50</v>
      </c>
      <c r="I14" s="202" t="s">
        <v>88</v>
      </c>
    </row>
    <row r="15" spans="1:10" x14ac:dyDescent="0.2">
      <c r="A15" s="10"/>
      <c r="B15" s="10"/>
      <c r="C15" s="10"/>
      <c r="D15" s="200" t="s">
        <v>89</v>
      </c>
      <c r="E15" s="193">
        <v>1512</v>
      </c>
      <c r="F15" s="193" t="s">
        <v>90</v>
      </c>
      <c r="G15" s="189" t="s">
        <v>91</v>
      </c>
      <c r="H15" s="188">
        <v>1</v>
      </c>
      <c r="I15" s="201"/>
    </row>
    <row r="16" spans="1:10" x14ac:dyDescent="0.2">
      <c r="A16" s="10"/>
      <c r="B16" s="10"/>
      <c r="C16" s="10"/>
      <c r="D16" s="200" t="s">
        <v>92</v>
      </c>
      <c r="E16" s="188">
        <v>1</v>
      </c>
      <c r="F16" s="189"/>
      <c r="G16" s="189" t="s">
        <v>93</v>
      </c>
      <c r="H16" s="188">
        <v>1</v>
      </c>
      <c r="I16" s="201"/>
    </row>
    <row r="17" spans="1:14" x14ac:dyDescent="0.2">
      <c r="A17" s="10"/>
      <c r="B17" s="10"/>
      <c r="C17" s="10"/>
      <c r="D17" s="200" t="s">
        <v>101</v>
      </c>
      <c r="E17" s="203">
        <v>14.2</v>
      </c>
      <c r="F17" s="189" t="s">
        <v>102</v>
      </c>
      <c r="G17" s="189" t="s">
        <v>96</v>
      </c>
      <c r="H17" s="188">
        <v>1</v>
      </c>
      <c r="I17" s="201"/>
    </row>
    <row r="18" spans="1:14" x14ac:dyDescent="0.2">
      <c r="A18" s="10"/>
      <c r="B18" s="10"/>
      <c r="C18" s="10"/>
      <c r="D18" s="204" t="s">
        <v>103</v>
      </c>
      <c r="E18" s="205">
        <v>4</v>
      </c>
      <c r="F18" s="206" t="s">
        <v>104</v>
      </c>
      <c r="G18" s="206"/>
      <c r="H18" s="206"/>
      <c r="I18" s="207"/>
      <c r="K18" s="158" t="s">
        <v>294</v>
      </c>
      <c r="L18" s="158"/>
      <c r="M18" s="158"/>
      <c r="N18" s="158"/>
    </row>
    <row r="19" spans="1:14" x14ac:dyDescent="0.2">
      <c r="A19" s="10"/>
      <c r="B19" s="10"/>
      <c r="C19" s="10"/>
      <c r="D19" s="78"/>
      <c r="E19" s="78"/>
      <c r="F19" s="78"/>
      <c r="G19" s="78"/>
      <c r="H19" s="78"/>
      <c r="I19" s="78"/>
    </row>
    <row r="22" spans="1:14" ht="15.75" x14ac:dyDescent="0.25">
      <c r="E22" s="94" t="s">
        <v>242</v>
      </c>
    </row>
    <row r="23" spans="1:14" x14ac:dyDescent="0.2">
      <c r="E23" s="94" t="s">
        <v>250</v>
      </c>
    </row>
    <row r="25" spans="1:14" x14ac:dyDescent="0.2">
      <c r="E25" s="94" t="s">
        <v>311</v>
      </c>
    </row>
    <row r="28" spans="1:14" ht="15.75" x14ac:dyDescent="0.25">
      <c r="A28" s="66"/>
      <c r="B28" s="66"/>
      <c r="C28" s="18"/>
    </row>
  </sheetData>
  <phoneticPr fontId="5" type="noConversion"/>
  <pageMargins left="1" right="1" top="1" bottom="1" header="0.5" footer="0.5"/>
  <pageSetup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3" r:id="rId4" name="Button 4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" name="Button 5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" name="Button 5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7" name="Button 5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8" name="Button 5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9" name="Button 5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0" name="Button 5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1" name="Button 5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2" name="Button 5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3" name="Button 5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0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I41"/>
  <sheetViews>
    <sheetView defaultGridColor="0" topLeftCell="D11" colorId="22" zoomScale="75" workbookViewId="0">
      <selection activeCell="L28" sqref="L28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6.6640625" style="94" customWidth="1"/>
    <col min="5" max="5" width="12.88671875" style="94" customWidth="1"/>
    <col min="6" max="6" width="7" style="94" customWidth="1"/>
    <col min="7" max="7" width="15.88671875" style="94" customWidth="1"/>
    <col min="8" max="8" width="10.77734375" style="94" customWidth="1"/>
    <col min="9" max="9" width="18.21875" style="94" customWidth="1"/>
    <col min="10" max="10" width="5.77734375" style="94" customWidth="1"/>
    <col min="11" max="16384" width="9.77734375" style="94"/>
  </cols>
  <sheetData>
    <row r="1" spans="1:9" x14ac:dyDescent="0.2">
      <c r="A1" s="10"/>
      <c r="B1" s="10"/>
      <c r="C1" s="10"/>
      <c r="D1" s="66" t="str">
        <f>'2...Demo'!A1</f>
        <v>BOND AMOUNT CALCULATION</v>
      </c>
      <c r="E1" s="66"/>
      <c r="F1" s="66"/>
      <c r="G1" s="66"/>
      <c r="H1" s="66"/>
      <c r="I1" s="106" t="str">
        <f>General!F1</f>
        <v>Rocky Mountain Mine</v>
      </c>
    </row>
    <row r="2" spans="1:9" x14ac:dyDescent="0.2">
      <c r="A2" s="10"/>
      <c r="B2" s="10"/>
      <c r="C2" s="10"/>
      <c r="D2" s="66" t="str">
        <f>'2...Demo'!A2</f>
        <v>New Mexico Mining and Minerals Division</v>
      </c>
      <c r="E2" s="66"/>
      <c r="F2" s="66"/>
      <c r="G2" s="66"/>
      <c r="H2" s="66"/>
      <c r="I2" s="106" t="s">
        <v>105</v>
      </c>
    </row>
    <row r="3" spans="1:9" x14ac:dyDescent="0.2">
      <c r="A3" s="10"/>
      <c r="B3" s="10"/>
      <c r="C3" s="10"/>
      <c r="D3" s="5" t="s">
        <v>106</v>
      </c>
      <c r="E3" s="66"/>
      <c r="F3" s="66"/>
      <c r="G3" s="66"/>
      <c r="H3" s="66"/>
      <c r="I3" s="167">
        <f ca="1">TODAY()</f>
        <v>43949</v>
      </c>
    </row>
    <row r="4" spans="1:9" x14ac:dyDescent="0.2">
      <c r="A4" s="10"/>
      <c r="B4" s="10"/>
      <c r="C4" s="10"/>
      <c r="D4" s="5" t="s">
        <v>107</v>
      </c>
      <c r="E4" s="66"/>
      <c r="F4" s="66"/>
      <c r="G4" s="66"/>
      <c r="H4" s="66"/>
      <c r="I4" s="161" t="s">
        <v>273</v>
      </c>
    </row>
    <row r="5" spans="1:9" x14ac:dyDescent="0.2">
      <c r="A5" s="10"/>
      <c r="B5" s="10"/>
      <c r="C5" s="10"/>
    </row>
    <row r="6" spans="1:9" x14ac:dyDescent="0.2">
      <c r="A6" s="10"/>
      <c r="B6" s="10"/>
      <c r="C6" s="10"/>
    </row>
    <row r="7" spans="1:9" ht="15.75" x14ac:dyDescent="0.25">
      <c r="A7" s="10"/>
      <c r="B7" s="10"/>
      <c r="C7" s="10"/>
      <c r="D7" s="90" t="s">
        <v>75</v>
      </c>
      <c r="E7" s="116" t="s">
        <v>255</v>
      </c>
      <c r="F7" s="116"/>
      <c r="G7" s="116"/>
      <c r="H7" s="116"/>
      <c r="I7" s="183"/>
    </row>
    <row r="8" spans="1:9" ht="15.75" x14ac:dyDescent="0.25">
      <c r="A8" s="10"/>
      <c r="B8" s="10"/>
      <c r="C8" s="12"/>
      <c r="D8" s="186"/>
      <c r="E8" s="126"/>
      <c r="F8" s="126"/>
      <c r="G8" s="126"/>
      <c r="H8" s="126"/>
      <c r="I8" s="184"/>
    </row>
    <row r="9" spans="1:9" ht="15.75" x14ac:dyDescent="0.25">
      <c r="A9" s="10"/>
      <c r="B9" s="10"/>
      <c r="C9" s="10"/>
      <c r="D9" s="91" t="s">
        <v>76</v>
      </c>
      <c r="E9" s="89" t="s">
        <v>234</v>
      </c>
      <c r="F9" s="67"/>
      <c r="G9" s="67"/>
      <c r="H9" s="68"/>
      <c r="I9" s="184"/>
    </row>
    <row r="10" spans="1:9" x14ac:dyDescent="0.2">
      <c r="A10" s="10"/>
      <c r="B10" s="10"/>
      <c r="C10" s="10"/>
      <c r="D10" s="143"/>
      <c r="E10" s="70"/>
      <c r="F10" s="71"/>
      <c r="G10" s="71"/>
      <c r="H10" s="72"/>
      <c r="I10" s="184"/>
    </row>
    <row r="11" spans="1:9" x14ac:dyDescent="0.2">
      <c r="A11" s="10"/>
      <c r="B11" s="10"/>
      <c r="C11" s="10"/>
      <c r="D11" s="186"/>
      <c r="E11" s="126"/>
      <c r="F11" s="126"/>
      <c r="G11" s="126"/>
      <c r="H11" s="126"/>
      <c r="I11" s="184"/>
    </row>
    <row r="12" spans="1:9" ht="15.75" x14ac:dyDescent="0.25">
      <c r="A12" s="10"/>
      <c r="B12" s="10"/>
      <c r="C12" s="10"/>
      <c r="D12" s="34" t="s">
        <v>37</v>
      </c>
      <c r="E12" s="118">
        <f>1300*24/43560</f>
        <v>0.71625344352617082</v>
      </c>
      <c r="F12" s="36" t="s">
        <v>99</v>
      </c>
      <c r="G12" s="37" t="s">
        <v>79</v>
      </c>
      <c r="H12" s="118">
        <f>E12*E16/12*43560/27/(E16/12*E17*E18/12*E15/27*H16/(E15/88+H15))</f>
        <v>0.74576802507837014</v>
      </c>
      <c r="I12" s="38" t="s">
        <v>80</v>
      </c>
    </row>
    <row r="13" spans="1:9" ht="15.75" x14ac:dyDescent="0.25">
      <c r="A13" s="10"/>
      <c r="B13" s="10"/>
      <c r="C13" s="10"/>
      <c r="D13" s="62" t="s">
        <v>56</v>
      </c>
      <c r="E13" s="42">
        <f>E12*43560*E16/12/27</f>
        <v>3042.962962962963</v>
      </c>
      <c r="F13" s="53" t="s">
        <v>78</v>
      </c>
      <c r="G13" s="41" t="s">
        <v>81</v>
      </c>
      <c r="H13" s="48">
        <f>(E16*E17*E15/27*H16/(E15/88+H15))*27/E16/43560</f>
        <v>3.8416956449743331</v>
      </c>
      <c r="I13" s="43" t="s">
        <v>100</v>
      </c>
    </row>
    <row r="14" spans="1:9" ht="16.5" thickBot="1" x14ac:dyDescent="0.3">
      <c r="A14" s="10"/>
      <c r="B14" s="10"/>
      <c r="C14" s="10"/>
      <c r="D14" s="74" t="s">
        <v>83</v>
      </c>
      <c r="E14" s="75"/>
      <c r="F14" s="75"/>
      <c r="G14" s="54"/>
      <c r="H14" s="75"/>
      <c r="I14" s="55"/>
    </row>
    <row r="15" spans="1:9" ht="15.75" thickTop="1" x14ac:dyDescent="0.2">
      <c r="A15" s="10"/>
      <c r="B15" s="10"/>
      <c r="C15" s="10"/>
      <c r="D15" s="76" t="s">
        <v>108</v>
      </c>
      <c r="E15" s="208">
        <v>100</v>
      </c>
      <c r="F15" s="188" t="s">
        <v>109</v>
      </c>
      <c r="G15" s="189" t="s">
        <v>110</v>
      </c>
      <c r="H15" s="188">
        <v>0.25</v>
      </c>
      <c r="I15" s="209" t="s">
        <v>111</v>
      </c>
    </row>
    <row r="16" spans="1:9" x14ac:dyDescent="0.2">
      <c r="A16" s="10"/>
      <c r="B16" s="10"/>
      <c r="C16" s="10"/>
      <c r="D16" s="76" t="s">
        <v>112</v>
      </c>
      <c r="E16" s="210">
        <v>31.6</v>
      </c>
      <c r="F16" s="188" t="s">
        <v>113</v>
      </c>
      <c r="G16" s="189" t="s">
        <v>87</v>
      </c>
      <c r="H16" s="193">
        <v>50</v>
      </c>
      <c r="I16" s="79" t="s">
        <v>88</v>
      </c>
    </row>
    <row r="17" spans="1:9" x14ac:dyDescent="0.2">
      <c r="A17" s="10"/>
      <c r="B17" s="10"/>
      <c r="C17" s="10"/>
      <c r="D17" s="76" t="s">
        <v>114</v>
      </c>
      <c r="E17" s="210">
        <v>46.4</v>
      </c>
      <c r="F17" s="193" t="s">
        <v>113</v>
      </c>
      <c r="G17" s="189"/>
      <c r="H17" s="189"/>
      <c r="I17" s="80"/>
    </row>
    <row r="18" spans="1:9" x14ac:dyDescent="0.2">
      <c r="A18" s="10"/>
      <c r="B18" s="10"/>
      <c r="C18" s="10"/>
      <c r="D18" s="84" t="s">
        <v>115</v>
      </c>
      <c r="E18" s="86">
        <v>3</v>
      </c>
      <c r="F18" s="86"/>
      <c r="G18" s="86"/>
      <c r="H18" s="86"/>
      <c r="I18" s="88"/>
    </row>
    <row r="19" spans="1:9" x14ac:dyDescent="0.2">
      <c r="A19" s="10"/>
      <c r="B19" s="10"/>
      <c r="C19" s="10"/>
    </row>
    <row r="20" spans="1:9" x14ac:dyDescent="0.2">
      <c r="A20" s="10"/>
      <c r="B20" s="10"/>
      <c r="C20" s="10"/>
    </row>
    <row r="21" spans="1:9" x14ac:dyDescent="0.2">
      <c r="A21" s="10"/>
      <c r="B21" s="10"/>
      <c r="C21" s="10"/>
    </row>
    <row r="22" spans="1:9" ht="15.75" x14ac:dyDescent="0.25">
      <c r="A22" s="66"/>
      <c r="B22" s="66"/>
      <c r="C22" s="66"/>
      <c r="D22" s="90" t="s">
        <v>75</v>
      </c>
      <c r="E22" s="116" t="s">
        <v>322</v>
      </c>
      <c r="F22" s="116"/>
      <c r="G22" s="116"/>
      <c r="H22" s="116"/>
      <c r="I22" s="183"/>
    </row>
    <row r="23" spans="1:9" x14ac:dyDescent="0.2">
      <c r="D23" s="186"/>
      <c r="E23" s="126"/>
      <c r="F23" s="126"/>
      <c r="G23" s="126"/>
      <c r="H23" s="126"/>
      <c r="I23" s="184"/>
    </row>
    <row r="24" spans="1:9" ht="15.75" x14ac:dyDescent="0.25">
      <c r="A24" s="66"/>
      <c r="B24" s="66"/>
      <c r="C24" s="66"/>
      <c r="D24" s="91" t="s">
        <v>76</v>
      </c>
      <c r="E24" s="89" t="s">
        <v>312</v>
      </c>
      <c r="F24" s="67"/>
      <c r="G24" s="67"/>
      <c r="H24" s="68"/>
      <c r="I24" s="184"/>
    </row>
    <row r="25" spans="1:9" x14ac:dyDescent="0.2">
      <c r="A25" s="66"/>
      <c r="B25" s="66"/>
      <c r="C25" s="66"/>
      <c r="D25" s="143"/>
      <c r="E25" s="70"/>
      <c r="F25" s="71"/>
      <c r="G25" s="71"/>
      <c r="H25" s="72"/>
      <c r="I25" s="184"/>
    </row>
    <row r="26" spans="1:9" x14ac:dyDescent="0.2">
      <c r="D26" s="186"/>
      <c r="E26" s="126"/>
      <c r="F26" s="126"/>
      <c r="G26" s="126"/>
      <c r="H26" s="126"/>
      <c r="I26" s="184"/>
    </row>
    <row r="27" spans="1:9" ht="15.75" x14ac:dyDescent="0.25">
      <c r="A27" s="66"/>
      <c r="B27" s="66"/>
      <c r="C27" s="66"/>
      <c r="D27" s="34" t="s">
        <v>37</v>
      </c>
      <c r="E27" s="117">
        <f>'4...Earthwrk'!F10</f>
        <v>11.62</v>
      </c>
      <c r="F27" s="36" t="s">
        <v>99</v>
      </c>
      <c r="G27" s="37" t="s">
        <v>79</v>
      </c>
      <c r="H27" s="52">
        <f>E27*E31/12*43560/27/(E31/12*E32*E33/12*E30/27*H31/(E30/88+H30))</f>
        <v>10.135244482758621</v>
      </c>
      <c r="I27" s="38" t="s">
        <v>80</v>
      </c>
    </row>
    <row r="28" spans="1:9" ht="15.75" x14ac:dyDescent="0.25">
      <c r="A28" s="66"/>
      <c r="B28" s="66"/>
      <c r="C28" s="66"/>
      <c r="D28" s="62" t="s">
        <v>56</v>
      </c>
      <c r="E28" s="42">
        <f>E27*43560*E31/12/27</f>
        <v>49366.924444444441</v>
      </c>
      <c r="F28" s="53" t="s">
        <v>78</v>
      </c>
      <c r="G28" s="41" t="s">
        <v>81</v>
      </c>
      <c r="H28" s="48">
        <f>(E31*E32*E30/27*H31/(E30/88+H30))*27/E31/43560</f>
        <v>4.5859771887169147</v>
      </c>
      <c r="I28" s="43" t="s">
        <v>100</v>
      </c>
    </row>
    <row r="29" spans="1:9" ht="16.5" thickBot="1" x14ac:dyDescent="0.3">
      <c r="A29" s="66"/>
      <c r="B29" s="66"/>
      <c r="C29" s="66"/>
      <c r="D29" s="74" t="s">
        <v>83</v>
      </c>
      <c r="E29" s="75"/>
      <c r="F29" s="75"/>
      <c r="G29" s="54"/>
      <c r="H29" s="75"/>
      <c r="I29" s="55"/>
    </row>
    <row r="30" spans="1:9" ht="15.75" thickTop="1" x14ac:dyDescent="0.2">
      <c r="A30" s="66"/>
      <c r="B30" s="66"/>
      <c r="C30" s="66"/>
      <c r="D30" s="76" t="s">
        <v>108</v>
      </c>
      <c r="E30" s="208">
        <v>1000</v>
      </c>
      <c r="F30" s="188" t="s">
        <v>109</v>
      </c>
      <c r="G30" s="189" t="s">
        <v>110</v>
      </c>
      <c r="H30" s="188">
        <v>0.25</v>
      </c>
      <c r="I30" s="209" t="s">
        <v>111</v>
      </c>
    </row>
    <row r="31" spans="1:9" x14ac:dyDescent="0.2">
      <c r="A31" s="66"/>
      <c r="B31" s="66"/>
      <c r="C31" s="66"/>
      <c r="D31" s="76" t="s">
        <v>112</v>
      </c>
      <c r="E31" s="210">
        <v>31.6</v>
      </c>
      <c r="F31" s="188" t="s">
        <v>113</v>
      </c>
      <c r="G31" s="189" t="s">
        <v>87</v>
      </c>
      <c r="H31" s="193">
        <v>50</v>
      </c>
      <c r="I31" s="79" t="s">
        <v>88</v>
      </c>
    </row>
    <row r="32" spans="1:9" x14ac:dyDescent="0.2">
      <c r="A32" s="66"/>
      <c r="B32" s="66"/>
      <c r="C32" s="66"/>
      <c r="D32" s="76" t="s">
        <v>114</v>
      </c>
      <c r="E32" s="210">
        <v>46.4</v>
      </c>
      <c r="F32" s="193" t="s">
        <v>113</v>
      </c>
      <c r="G32" s="189"/>
      <c r="H32" s="189"/>
      <c r="I32" s="80"/>
    </row>
    <row r="33" spans="1:9" x14ac:dyDescent="0.2">
      <c r="A33" s="66"/>
      <c r="B33" s="66"/>
      <c r="C33" s="66"/>
      <c r="D33" s="84" t="s">
        <v>115</v>
      </c>
      <c r="E33" s="86">
        <v>3</v>
      </c>
      <c r="F33" s="86"/>
      <c r="G33" s="86"/>
      <c r="H33" s="86"/>
      <c r="I33" s="88"/>
    </row>
    <row r="35" spans="1:9" x14ac:dyDescent="0.2">
      <c r="A35" s="66"/>
      <c r="B35" s="66"/>
      <c r="C35" s="66"/>
    </row>
    <row r="36" spans="1:9" ht="15.75" x14ac:dyDescent="0.25">
      <c r="E36" s="140" t="s">
        <v>239</v>
      </c>
    </row>
    <row r="37" spans="1:9" x14ac:dyDescent="0.2">
      <c r="E37" s="94" t="s">
        <v>333</v>
      </c>
    </row>
    <row r="38" spans="1:9" x14ac:dyDescent="0.2">
      <c r="E38" s="94" t="s">
        <v>323</v>
      </c>
    </row>
    <row r="40" spans="1:9" x14ac:dyDescent="0.2">
      <c r="E40" s="94" t="s">
        <v>324</v>
      </c>
    </row>
    <row r="41" spans="1:9" x14ac:dyDescent="0.2">
      <c r="E41" s="94" t="s">
        <v>313</v>
      </c>
    </row>
  </sheetData>
  <phoneticPr fontId="5" type="noConversion"/>
  <pageMargins left="1" right="1" top="1" bottom="1" header="0.5" footer="0.5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7" r:id="rId4" name="Button 5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" name="Button 6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" name="Button 6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7" name="Button 6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8" name="Button 6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9" name="Button 6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0" name="Button 6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11" name="Button 6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2" name="Button 6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3" name="Button 6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21"/>
  <sheetViews>
    <sheetView defaultGridColor="0" topLeftCell="C1" colorId="22" zoomScale="75" workbookViewId="0">
      <selection activeCell="I4" sqref="I4"/>
    </sheetView>
  </sheetViews>
  <sheetFormatPr defaultColWidth="9.77734375" defaultRowHeight="15" x14ac:dyDescent="0.2"/>
  <cols>
    <col min="1" max="1" width="1.77734375" customWidth="1"/>
    <col min="2" max="2" width="11.77734375" customWidth="1"/>
    <col min="3" max="3" width="1.77734375" customWidth="1"/>
    <col min="4" max="4" width="19.77734375" customWidth="1"/>
    <col min="5" max="5" width="7.77734375" customWidth="1"/>
    <col min="6" max="6" width="4.77734375" customWidth="1"/>
    <col min="7" max="7" width="10.77734375" customWidth="1"/>
    <col min="8" max="8" width="5.77734375" customWidth="1"/>
    <col min="9" max="9" width="13.77734375" customWidth="1"/>
    <col min="10" max="10" width="5.77734375" customWidth="1"/>
  </cols>
  <sheetData>
    <row r="1" spans="1:9" x14ac:dyDescent="0.2">
      <c r="A1" s="2"/>
      <c r="B1" s="2"/>
      <c r="C1" s="2"/>
      <c r="D1" s="1" t="str">
        <f>General!D1</f>
        <v>BOND AMOUNT CALCULATION</v>
      </c>
      <c r="E1" s="1"/>
      <c r="F1" s="1"/>
      <c r="G1" s="1"/>
      <c r="H1" s="1"/>
      <c r="I1" s="16" t="str">
        <f>General!F1</f>
        <v>Rocky Mountain Mine</v>
      </c>
    </row>
    <row r="2" spans="1:9" x14ac:dyDescent="0.2">
      <c r="A2" s="2"/>
      <c r="B2" s="2"/>
      <c r="C2" s="2"/>
      <c r="D2" s="1" t="str">
        <f>General!D2</f>
        <v>New Mexico Mining and Minerals Division</v>
      </c>
      <c r="E2" s="1"/>
      <c r="F2" s="1"/>
      <c r="G2" s="1"/>
      <c r="H2" s="1"/>
      <c r="I2" s="16" t="s">
        <v>116</v>
      </c>
    </row>
    <row r="3" spans="1:9" x14ac:dyDescent="0.2">
      <c r="A3" s="2"/>
      <c r="B3" s="2"/>
      <c r="C3" s="2"/>
      <c r="D3" s="5" t="s">
        <v>117</v>
      </c>
      <c r="E3" s="1"/>
      <c r="F3" s="1"/>
      <c r="G3" s="1"/>
      <c r="H3" s="1"/>
      <c r="I3" s="17">
        <f ca="1">TODAY()</f>
        <v>43949</v>
      </c>
    </row>
    <row r="4" spans="1:9" x14ac:dyDescent="0.2">
      <c r="A4" s="2"/>
      <c r="B4" s="2"/>
      <c r="C4" s="2"/>
      <c r="D4" s="1"/>
      <c r="E4" s="1"/>
      <c r="F4" s="1"/>
      <c r="G4" s="1"/>
      <c r="H4" s="1"/>
      <c r="I4" s="106" t="s">
        <v>219</v>
      </c>
    </row>
    <row r="5" spans="1:9" x14ac:dyDescent="0.2">
      <c r="A5" s="2"/>
      <c r="B5" s="2"/>
      <c r="C5" s="2"/>
      <c r="D5" s="1"/>
      <c r="E5" s="1"/>
      <c r="F5" s="1"/>
      <c r="G5" s="1"/>
      <c r="H5" s="1"/>
      <c r="I5" s="16"/>
    </row>
    <row r="6" spans="1:9" ht="15.75" x14ac:dyDescent="0.25">
      <c r="A6" s="2"/>
      <c r="B6" s="2"/>
      <c r="C6" s="2"/>
      <c r="D6" s="18" t="s">
        <v>75</v>
      </c>
    </row>
    <row r="7" spans="1:9" x14ac:dyDescent="0.2">
      <c r="A7" s="2"/>
      <c r="B7" s="2"/>
      <c r="C7" s="10"/>
    </row>
    <row r="8" spans="1:9" ht="15.75" x14ac:dyDescent="0.25">
      <c r="A8" s="2"/>
      <c r="B8" s="2"/>
      <c r="C8" s="12"/>
      <c r="D8" s="18" t="s">
        <v>76</v>
      </c>
      <c r="E8" s="1"/>
      <c r="F8" s="7"/>
      <c r="G8" s="7"/>
      <c r="H8" s="31"/>
    </row>
    <row r="9" spans="1:9" x14ac:dyDescent="0.2">
      <c r="A9" s="2"/>
      <c r="B9" s="2"/>
      <c r="C9" s="10"/>
      <c r="D9" s="1"/>
      <c r="E9" s="32"/>
      <c r="F9" s="30" t="s">
        <v>118</v>
      </c>
      <c r="G9" s="30"/>
      <c r="H9" s="33"/>
    </row>
    <row r="10" spans="1:9" x14ac:dyDescent="0.2">
      <c r="A10" s="2"/>
      <c r="B10" s="2"/>
      <c r="C10" s="10"/>
    </row>
    <row r="11" spans="1:9" ht="15.75" x14ac:dyDescent="0.25">
      <c r="A11" s="2"/>
      <c r="B11" s="2"/>
      <c r="C11" s="10"/>
      <c r="D11" s="34" t="s">
        <v>56</v>
      </c>
      <c r="E11" s="35">
        <f>'3...Material'!F11</f>
        <v>14060.2</v>
      </c>
      <c r="F11" s="36" t="s">
        <v>78</v>
      </c>
      <c r="G11" s="37" t="s">
        <v>79</v>
      </c>
      <c r="H11" s="52">
        <f>E11/H12</f>
        <v>52.270861176470596</v>
      </c>
      <c r="I11" s="38" t="s">
        <v>80</v>
      </c>
    </row>
    <row r="12" spans="1:9" ht="15.75" x14ac:dyDescent="0.25">
      <c r="A12" s="2"/>
      <c r="B12" s="2"/>
      <c r="C12" s="10"/>
      <c r="D12" s="57" t="s">
        <v>119</v>
      </c>
      <c r="E12" s="58">
        <f>E15*E16</f>
        <v>4.25</v>
      </c>
      <c r="F12" s="59" t="s">
        <v>78</v>
      </c>
      <c r="G12" s="99" t="s">
        <v>81</v>
      </c>
      <c r="H12" s="60">
        <f>E12/E13*H18</f>
        <v>268.98734177215186</v>
      </c>
      <c r="I12" s="61" t="s">
        <v>120</v>
      </c>
    </row>
    <row r="13" spans="1:9" ht="15.75" x14ac:dyDescent="0.25">
      <c r="A13" s="2"/>
      <c r="B13" s="2"/>
      <c r="C13" s="10"/>
      <c r="D13" s="62" t="s">
        <v>121</v>
      </c>
      <c r="E13" s="48">
        <f>H15+H16+H17</f>
        <v>0.79</v>
      </c>
      <c r="F13" s="53" t="s">
        <v>122</v>
      </c>
      <c r="G13" s="53"/>
      <c r="H13" s="42"/>
      <c r="I13" s="43"/>
    </row>
    <row r="14" spans="1:9" ht="16.5" thickBot="1" x14ac:dyDescent="0.3">
      <c r="A14" s="2"/>
      <c r="B14" s="2"/>
      <c r="C14" s="10"/>
      <c r="D14" s="44" t="s">
        <v>83</v>
      </c>
      <c r="E14" s="45"/>
      <c r="F14" s="45"/>
      <c r="G14" s="54"/>
      <c r="H14" s="45"/>
      <c r="I14" s="55"/>
    </row>
    <row r="15" spans="1:9" ht="15.75" thickTop="1" x14ac:dyDescent="0.2">
      <c r="A15" s="2"/>
      <c r="B15" s="2"/>
      <c r="C15" s="10"/>
      <c r="D15" s="9" t="s">
        <v>123</v>
      </c>
      <c r="E15" s="63">
        <v>5</v>
      </c>
      <c r="F15" s="46" t="s">
        <v>78</v>
      </c>
      <c r="G15" s="47" t="s">
        <v>124</v>
      </c>
      <c r="H15" s="46">
        <v>0.13</v>
      </c>
      <c r="I15" s="50" t="s">
        <v>122</v>
      </c>
    </row>
    <row r="16" spans="1:9" x14ac:dyDescent="0.2">
      <c r="A16" s="2"/>
      <c r="B16" s="2"/>
      <c r="C16" s="10"/>
      <c r="D16" s="9" t="s">
        <v>125</v>
      </c>
      <c r="E16" s="46">
        <v>0.85</v>
      </c>
      <c r="F16" s="46"/>
      <c r="G16" s="47" t="s">
        <v>126</v>
      </c>
      <c r="H16" s="46">
        <v>0.11</v>
      </c>
      <c r="I16" s="49" t="s">
        <v>122</v>
      </c>
    </row>
    <row r="17" spans="1:9" x14ac:dyDescent="0.2">
      <c r="A17" s="2"/>
      <c r="B17" s="2"/>
      <c r="C17" s="10"/>
      <c r="D17" s="9"/>
      <c r="E17" s="47"/>
      <c r="F17" s="47"/>
      <c r="G17" s="47" t="s">
        <v>127</v>
      </c>
      <c r="H17" s="46">
        <v>0.55000000000000004</v>
      </c>
      <c r="I17" s="56" t="s">
        <v>122</v>
      </c>
    </row>
    <row r="18" spans="1:9" x14ac:dyDescent="0.2">
      <c r="A18" s="2"/>
      <c r="B18" s="2"/>
      <c r="C18" s="10"/>
      <c r="D18" s="39" t="s">
        <v>128</v>
      </c>
      <c r="E18" s="40">
        <v>50.88</v>
      </c>
      <c r="F18" s="40" t="s">
        <v>129</v>
      </c>
      <c r="G18" s="40" t="s">
        <v>87</v>
      </c>
      <c r="H18" s="64">
        <v>50</v>
      </c>
      <c r="I18" s="65" t="s">
        <v>88</v>
      </c>
    </row>
    <row r="19" spans="1:9" x14ac:dyDescent="0.2">
      <c r="A19" s="2"/>
      <c r="B19" s="2"/>
      <c r="C19" s="10"/>
    </row>
    <row r="20" spans="1:9" x14ac:dyDescent="0.2">
      <c r="A20" s="2"/>
      <c r="B20" s="2"/>
      <c r="C20" s="10"/>
    </row>
    <row r="21" spans="1:9" x14ac:dyDescent="0.2">
      <c r="A21" s="2"/>
      <c r="B21" s="2"/>
      <c r="C21" s="2"/>
    </row>
  </sheetData>
  <phoneticPr fontId="5" type="noConversion"/>
  <pageMargins left="1" right="1" top="1" bottom="1" header="0.5" footer="0.5"/>
  <pageSetup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1" r:id="rId4" name="Button 69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" name="Button 70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" name="Button 71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" name="Button 72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8" name="Button 73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9" name="Button 74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0" name="Button 7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1" name="Button 7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2" name="Button 7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3" name="Button 78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I39"/>
  <sheetViews>
    <sheetView defaultGridColor="0" colorId="22" zoomScale="75" workbookViewId="0">
      <selection activeCell="L20" sqref="L20"/>
    </sheetView>
  </sheetViews>
  <sheetFormatPr defaultColWidth="9.77734375" defaultRowHeight="15" x14ac:dyDescent="0.2"/>
  <cols>
    <col min="1" max="1" width="1.77734375" customWidth="1"/>
    <col min="2" max="2" width="11.77734375" customWidth="1"/>
    <col min="3" max="3" width="1.77734375" customWidth="1"/>
    <col min="4" max="4" width="18.77734375" customWidth="1"/>
    <col min="5" max="5" width="7.77734375" customWidth="1"/>
    <col min="6" max="6" width="6.77734375" customWidth="1"/>
    <col min="7" max="7" width="16.77734375" customWidth="1"/>
    <col min="8" max="8" width="8.77734375" customWidth="1"/>
    <col min="9" max="9" width="13.77734375" customWidth="1"/>
    <col min="10" max="10" width="5.77734375" customWidth="1"/>
  </cols>
  <sheetData>
    <row r="1" spans="1:9" ht="13.9" customHeight="1" x14ac:dyDescent="0.2">
      <c r="A1" s="2"/>
      <c r="B1" s="2"/>
      <c r="C1" s="2"/>
      <c r="D1" s="1" t="str">
        <f>'4...Earthwrk'!D1</f>
        <v>BOND AMOUNT CALCULATION</v>
      </c>
      <c r="E1" s="1"/>
      <c r="F1" s="1"/>
      <c r="G1" s="1"/>
      <c r="H1" s="1"/>
      <c r="I1" s="16" t="str">
        <f>General!F1</f>
        <v>Rocky Mountain Mine</v>
      </c>
    </row>
    <row r="2" spans="1:9" ht="13.9" customHeight="1" x14ac:dyDescent="0.2">
      <c r="A2" s="2"/>
      <c r="B2" s="2"/>
      <c r="C2" s="2"/>
      <c r="D2" s="1" t="str">
        <f>'4...Earthwrk'!D2</f>
        <v>New Mexico Mining and Minerals Division</v>
      </c>
      <c r="E2" s="1"/>
      <c r="F2" s="1"/>
      <c r="G2" s="1"/>
      <c r="H2" s="1"/>
      <c r="I2" s="16" t="s">
        <v>130</v>
      </c>
    </row>
    <row r="3" spans="1:9" ht="13.9" customHeight="1" x14ac:dyDescent="0.2">
      <c r="A3" s="2"/>
      <c r="B3" s="2"/>
      <c r="C3" s="2"/>
      <c r="D3" s="5" t="s">
        <v>131</v>
      </c>
      <c r="E3" s="1"/>
      <c r="F3" s="1"/>
      <c r="G3" s="1"/>
      <c r="H3" s="1"/>
      <c r="I3" s="17">
        <f ca="1">TODAY()</f>
        <v>43949</v>
      </c>
    </row>
    <row r="4" spans="1:9" ht="13.9" customHeight="1" x14ac:dyDescent="0.2">
      <c r="A4" s="2"/>
      <c r="B4" s="2"/>
      <c r="C4" s="2"/>
      <c r="D4" s="1"/>
      <c r="E4" s="1"/>
      <c r="F4" s="1"/>
      <c r="G4" s="1"/>
      <c r="H4" s="1"/>
      <c r="I4" s="106" t="s">
        <v>219</v>
      </c>
    </row>
    <row r="5" spans="1:9" ht="13.9" customHeight="1" x14ac:dyDescent="0.25">
      <c r="A5" s="2"/>
      <c r="B5" s="2"/>
      <c r="C5" s="2"/>
      <c r="D5" s="18" t="s">
        <v>75</v>
      </c>
      <c r="E5" s="1"/>
      <c r="F5" s="66"/>
      <c r="G5" s="66"/>
      <c r="H5" s="66"/>
      <c r="I5" s="66"/>
    </row>
    <row r="6" spans="1:9" ht="13.9" customHeight="1" x14ac:dyDescent="0.2">
      <c r="A6" s="2"/>
      <c r="B6" s="2"/>
      <c r="C6" s="2"/>
      <c r="D6" s="1"/>
      <c r="E6" s="1"/>
      <c r="F6" s="1"/>
      <c r="G6" s="1"/>
      <c r="H6" s="1"/>
      <c r="I6" s="66"/>
    </row>
    <row r="7" spans="1:9" ht="13.9" customHeight="1" x14ac:dyDescent="0.25">
      <c r="A7" s="2"/>
      <c r="B7" s="2"/>
      <c r="C7" s="10"/>
      <c r="D7" s="18" t="s">
        <v>76</v>
      </c>
      <c r="E7" s="1"/>
      <c r="F7" s="67"/>
      <c r="G7" s="67"/>
      <c r="H7" s="68"/>
      <c r="I7" s="69"/>
    </row>
    <row r="8" spans="1:9" ht="13.9" customHeight="1" x14ac:dyDescent="0.25">
      <c r="A8" s="2"/>
      <c r="B8" s="2"/>
      <c r="C8" s="12"/>
      <c r="D8" s="66"/>
      <c r="E8" s="70"/>
      <c r="F8" s="71"/>
      <c r="G8" s="71"/>
      <c r="H8" s="72"/>
      <c r="I8" s="69"/>
    </row>
    <row r="9" spans="1:9" ht="13.9" customHeight="1" x14ac:dyDescent="0.2">
      <c r="A9" s="2"/>
      <c r="B9" s="2"/>
      <c r="C9" s="10"/>
      <c r="D9" s="66"/>
      <c r="E9" s="66"/>
      <c r="F9" s="66"/>
      <c r="G9" s="66"/>
      <c r="H9" s="66"/>
      <c r="I9" s="69"/>
    </row>
    <row r="10" spans="1:9" ht="13.9" customHeight="1" x14ac:dyDescent="0.2">
      <c r="A10" s="2"/>
      <c r="B10" s="2"/>
      <c r="C10" s="10"/>
    </row>
    <row r="11" spans="1:9" ht="13.9" customHeight="1" x14ac:dyDescent="0.25">
      <c r="A11" s="2"/>
      <c r="B11" s="2"/>
      <c r="C11" s="10"/>
      <c r="D11" s="34" t="s">
        <v>56</v>
      </c>
      <c r="E11" s="35">
        <f>'8...Loader'!E11</f>
        <v>14060.2</v>
      </c>
      <c r="F11" s="36" t="s">
        <v>78</v>
      </c>
      <c r="G11" s="37" t="s">
        <v>79</v>
      </c>
      <c r="H11" s="35">
        <f>IF(E11/H12&lt;'8...Loader'!H11,'8...Loader'!H11,E11/H12)</f>
        <v>61.754603921568631</v>
      </c>
      <c r="I11" s="38" t="s">
        <v>80</v>
      </c>
    </row>
    <row r="12" spans="1:9" ht="13.9" customHeight="1" x14ac:dyDescent="0.25">
      <c r="A12" s="2"/>
      <c r="B12" s="2"/>
      <c r="C12" s="10"/>
      <c r="D12" s="62" t="s">
        <v>132</v>
      </c>
      <c r="E12" s="73">
        <f>SUM(H14:H18)+E16*'8...Loader'!E13</f>
        <v>28</v>
      </c>
      <c r="F12" s="53" t="s">
        <v>122</v>
      </c>
      <c r="G12" s="41" t="s">
        <v>81</v>
      </c>
      <c r="H12" s="42">
        <f>H19*E16*'8...Loader'!E12*E17/E12</f>
        <v>227.67857142857142</v>
      </c>
      <c r="I12" s="43" t="s">
        <v>95</v>
      </c>
    </row>
    <row r="13" spans="1:9" ht="13.9" customHeight="1" thickBot="1" x14ac:dyDescent="0.3">
      <c r="A13" s="2"/>
      <c r="B13" s="2"/>
      <c r="C13" s="10"/>
      <c r="D13" s="74" t="s">
        <v>83</v>
      </c>
      <c r="E13" s="75"/>
      <c r="F13" s="75"/>
      <c r="G13" s="54"/>
      <c r="H13" s="75"/>
      <c r="I13" s="55"/>
    </row>
    <row r="14" spans="1:9" ht="13.9" customHeight="1" thickTop="1" x14ac:dyDescent="0.2">
      <c r="A14" s="2"/>
      <c r="B14" s="2"/>
      <c r="C14" s="10"/>
      <c r="D14" s="76" t="s">
        <v>133</v>
      </c>
      <c r="E14" s="77">
        <v>34</v>
      </c>
      <c r="F14" s="78" t="s">
        <v>78</v>
      </c>
      <c r="G14" s="78" t="s">
        <v>124</v>
      </c>
      <c r="H14" s="77">
        <v>8.6</v>
      </c>
      <c r="I14" s="79" t="s">
        <v>122</v>
      </c>
    </row>
    <row r="15" spans="1:9" ht="13.9" customHeight="1" x14ac:dyDescent="0.2">
      <c r="A15" s="2"/>
      <c r="B15" s="2"/>
      <c r="C15" s="10"/>
      <c r="D15" s="76" t="s">
        <v>134</v>
      </c>
      <c r="E15" s="77">
        <v>44.6</v>
      </c>
      <c r="F15" s="78" t="s">
        <v>78</v>
      </c>
      <c r="G15" s="78" t="s">
        <v>126</v>
      </c>
      <c r="H15" s="77">
        <v>1.8</v>
      </c>
      <c r="I15" s="80" t="s">
        <v>122</v>
      </c>
    </row>
    <row r="16" spans="1:9" ht="13.9" customHeight="1" x14ac:dyDescent="0.2">
      <c r="A16" s="2"/>
      <c r="B16" s="2"/>
      <c r="C16" s="10"/>
      <c r="D16" s="76" t="s">
        <v>135</v>
      </c>
      <c r="E16" s="81">
        <f>IF(TRUNC(E14/'8...Loader'!E12)&lt;TRUNC(E15/'8...Loader'!E12),TRUNC(E15/'8...Loader'!E12),TRUNC(E14/'8...Loader'!E12))</f>
        <v>10</v>
      </c>
      <c r="F16" s="78" t="s">
        <v>136</v>
      </c>
      <c r="G16" s="78" t="s">
        <v>137</v>
      </c>
      <c r="H16" s="77">
        <f>'8...Loader'!E13*E16</f>
        <v>7.9</v>
      </c>
      <c r="I16" s="80" t="s">
        <v>122</v>
      </c>
    </row>
    <row r="17" spans="1:9" ht="13.9" customHeight="1" x14ac:dyDescent="0.2">
      <c r="A17" s="2"/>
      <c r="B17" s="2"/>
      <c r="C17" s="10"/>
      <c r="D17" s="82" t="s">
        <v>138</v>
      </c>
      <c r="E17" s="83">
        <v>3</v>
      </c>
      <c r="F17" s="78" t="s">
        <v>139</v>
      </c>
      <c r="G17" s="78" t="s">
        <v>140</v>
      </c>
      <c r="H17" s="78">
        <v>0.7</v>
      </c>
      <c r="I17" s="80" t="s">
        <v>122</v>
      </c>
    </row>
    <row r="18" spans="1:9" ht="13.9" customHeight="1" x14ac:dyDescent="0.2">
      <c r="A18" s="2"/>
      <c r="B18" s="2"/>
      <c r="C18" s="10"/>
      <c r="D18" s="76" t="s">
        <v>141</v>
      </c>
      <c r="E18" s="83">
        <v>2000</v>
      </c>
      <c r="F18" s="78" t="s">
        <v>102</v>
      </c>
      <c r="G18" s="78" t="s">
        <v>142</v>
      </c>
      <c r="H18" s="77">
        <v>1.1000000000000001</v>
      </c>
      <c r="I18" s="80" t="s">
        <v>122</v>
      </c>
    </row>
    <row r="19" spans="1:9" ht="13.9" customHeight="1" x14ac:dyDescent="0.2">
      <c r="A19" s="2"/>
      <c r="B19" s="2"/>
      <c r="C19" s="10"/>
      <c r="D19" s="76" t="s">
        <v>143</v>
      </c>
      <c r="E19" s="77">
        <v>7.5</v>
      </c>
      <c r="F19" s="78" t="s">
        <v>144</v>
      </c>
      <c r="G19" s="78" t="s">
        <v>87</v>
      </c>
      <c r="H19" s="78">
        <v>50</v>
      </c>
      <c r="I19" s="80" t="s">
        <v>88</v>
      </c>
    </row>
    <row r="20" spans="1:9" ht="13.9" customHeight="1" x14ac:dyDescent="0.2">
      <c r="A20" s="2"/>
      <c r="B20" s="2"/>
      <c r="C20" s="10"/>
      <c r="D20" s="84" t="s">
        <v>145</v>
      </c>
      <c r="E20" s="85">
        <v>4</v>
      </c>
      <c r="F20" s="86" t="s">
        <v>144</v>
      </c>
      <c r="G20" s="86" t="s">
        <v>128</v>
      </c>
      <c r="H20" s="87">
        <v>117.05</v>
      </c>
      <c r="I20" s="88" t="s">
        <v>129</v>
      </c>
    </row>
    <row r="21" spans="1:9" ht="13.9" customHeight="1" x14ac:dyDescent="0.2">
      <c r="A21" s="2"/>
      <c r="B21" s="2"/>
      <c r="C21" s="2"/>
    </row>
    <row r="22" spans="1:9" ht="13.9" customHeight="1" x14ac:dyDescent="0.2"/>
    <row r="23" spans="1:9" ht="13.9" customHeight="1" x14ac:dyDescent="0.2">
      <c r="E23" s="19" t="s">
        <v>146</v>
      </c>
      <c r="G23" s="19" t="s">
        <v>147</v>
      </c>
      <c r="H23" s="19" t="s">
        <v>148</v>
      </c>
    </row>
    <row r="24" spans="1:9" ht="13.9" customHeight="1" x14ac:dyDescent="0.2">
      <c r="A24" s="1"/>
      <c r="B24" s="1"/>
      <c r="C24" s="1"/>
      <c r="D24" s="1"/>
      <c r="E24" s="3" t="s">
        <v>147</v>
      </c>
      <c r="F24" s="1" t="s">
        <v>149</v>
      </c>
      <c r="G24" s="3" t="s">
        <v>42</v>
      </c>
      <c r="H24" s="3" t="s">
        <v>42</v>
      </c>
      <c r="I24" s="3" t="s">
        <v>34</v>
      </c>
    </row>
    <row r="25" spans="1:9" ht="13.9" customHeight="1" x14ac:dyDescent="0.2">
      <c r="A25" s="1"/>
      <c r="B25" s="1"/>
      <c r="C25" s="1"/>
      <c r="D25" s="1"/>
      <c r="E25" s="1">
        <v>2</v>
      </c>
      <c r="F25" s="1">
        <v>13</v>
      </c>
      <c r="G25" s="13">
        <f t="shared" ref="G25:G32" si="0">F25*($H$20+20)*E25</f>
        <v>3563.3</v>
      </c>
      <c r="H25" s="13">
        <f>F25*('8...Loader'!$E$18+20)</f>
        <v>921.43999999999994</v>
      </c>
      <c r="I25" s="13">
        <f t="shared" ref="I25:I32" si="1">G25+H25</f>
        <v>4484.74</v>
      </c>
    </row>
    <row r="26" spans="1:9" ht="13.9" customHeight="1" x14ac:dyDescent="0.25">
      <c r="A26" s="1"/>
      <c r="B26" s="1"/>
      <c r="C26" s="1"/>
      <c r="D26" s="100" t="s">
        <v>150</v>
      </c>
      <c r="E26" s="18">
        <v>3</v>
      </c>
      <c r="F26" s="18">
        <v>9</v>
      </c>
      <c r="G26" s="28">
        <f t="shared" si="0"/>
        <v>3700.3500000000004</v>
      </c>
      <c r="H26" s="28">
        <f>F26*('8...Loader'!$E$18+20)</f>
        <v>637.91999999999996</v>
      </c>
      <c r="I26" s="28">
        <f t="shared" si="1"/>
        <v>4338.2700000000004</v>
      </c>
    </row>
    <row r="27" spans="1:9" ht="13.9" customHeight="1" x14ac:dyDescent="0.2">
      <c r="A27" s="1"/>
      <c r="B27" s="1"/>
      <c r="C27" s="1"/>
      <c r="D27" s="1"/>
      <c r="E27" s="1">
        <f t="shared" ref="E27:E32" si="2">1+E26</f>
        <v>4</v>
      </c>
      <c r="F27" s="1">
        <v>7</v>
      </c>
      <c r="G27" s="13">
        <f t="shared" si="0"/>
        <v>3837.4000000000005</v>
      </c>
      <c r="H27" s="13">
        <f>F27*('8...Loader'!$E$18+20)</f>
        <v>496.15999999999997</v>
      </c>
      <c r="I27" s="13">
        <f t="shared" si="1"/>
        <v>4333.5600000000004</v>
      </c>
    </row>
    <row r="28" spans="1:9" ht="13.9" customHeight="1" x14ac:dyDescent="0.2">
      <c r="A28" s="1"/>
      <c r="B28" s="1"/>
      <c r="C28" s="1"/>
      <c r="D28" s="1"/>
      <c r="E28" s="1">
        <f t="shared" si="2"/>
        <v>5</v>
      </c>
      <c r="F28" s="1">
        <v>7</v>
      </c>
      <c r="G28" s="13">
        <f t="shared" si="0"/>
        <v>4796.7500000000009</v>
      </c>
      <c r="H28" s="13">
        <f>F28*('8...Loader'!$E$18+20)</f>
        <v>496.15999999999997</v>
      </c>
      <c r="I28" s="13">
        <f t="shared" si="1"/>
        <v>5292.9100000000008</v>
      </c>
    </row>
    <row r="29" spans="1:9" ht="13.9" customHeight="1" x14ac:dyDescent="0.2">
      <c r="A29" s="1"/>
      <c r="B29" s="1"/>
      <c r="C29" s="1"/>
      <c r="D29" s="1"/>
      <c r="E29" s="1">
        <f t="shared" si="2"/>
        <v>6</v>
      </c>
      <c r="F29" s="1">
        <v>7</v>
      </c>
      <c r="G29" s="13">
        <f t="shared" si="0"/>
        <v>5756.1</v>
      </c>
      <c r="H29" s="13">
        <f>F29*('8...Loader'!$E$18+20)</f>
        <v>496.15999999999997</v>
      </c>
      <c r="I29" s="13">
        <f t="shared" si="1"/>
        <v>6252.26</v>
      </c>
    </row>
    <row r="30" spans="1:9" x14ac:dyDescent="0.2">
      <c r="A30" s="1"/>
      <c r="B30" s="1"/>
      <c r="C30" s="1"/>
      <c r="D30" s="1"/>
      <c r="E30" s="1">
        <f t="shared" si="2"/>
        <v>7</v>
      </c>
      <c r="F30" s="1">
        <v>7</v>
      </c>
      <c r="G30" s="13">
        <f t="shared" si="0"/>
        <v>6715.4500000000007</v>
      </c>
      <c r="H30" s="13">
        <f>F30*('8...Loader'!$E$18+20)</f>
        <v>496.15999999999997</v>
      </c>
      <c r="I30" s="13">
        <f t="shared" si="1"/>
        <v>7211.6100000000006</v>
      </c>
    </row>
    <row r="31" spans="1:9" x14ac:dyDescent="0.2">
      <c r="A31" s="1"/>
      <c r="B31" s="1"/>
      <c r="C31" s="1"/>
      <c r="D31" s="1"/>
      <c r="E31" s="1">
        <f t="shared" si="2"/>
        <v>8</v>
      </c>
      <c r="F31" s="1">
        <v>7</v>
      </c>
      <c r="G31" s="13">
        <f t="shared" si="0"/>
        <v>7674.8000000000011</v>
      </c>
      <c r="H31" s="13">
        <f>F31*('8...Loader'!$E$18+20)</f>
        <v>496.15999999999997</v>
      </c>
      <c r="I31" s="13">
        <f t="shared" si="1"/>
        <v>8170.9600000000009</v>
      </c>
    </row>
    <row r="32" spans="1:9" x14ac:dyDescent="0.2">
      <c r="A32" s="1"/>
      <c r="B32" s="1"/>
      <c r="C32" s="1"/>
      <c r="D32" s="1"/>
      <c r="E32" s="1">
        <f t="shared" si="2"/>
        <v>9</v>
      </c>
      <c r="F32" s="1">
        <v>7</v>
      </c>
      <c r="G32" s="13">
        <f t="shared" si="0"/>
        <v>8634.1500000000015</v>
      </c>
      <c r="H32" s="13">
        <f>F32*('8...Loader'!$E$18+20)</f>
        <v>496.15999999999997</v>
      </c>
      <c r="I32" s="13">
        <f t="shared" si="1"/>
        <v>9130.3100000000013</v>
      </c>
    </row>
    <row r="33" spans="1:9" x14ac:dyDescent="0.2">
      <c r="A33" s="1"/>
      <c r="B33" s="1"/>
      <c r="C33" s="1"/>
      <c r="D33" s="1"/>
      <c r="E33" s="1"/>
      <c r="F33" s="1"/>
      <c r="G33" s="13"/>
      <c r="H33" s="13"/>
      <c r="I33" s="13"/>
    </row>
    <row r="34" spans="1:9" x14ac:dyDescent="0.2">
      <c r="A34" s="1"/>
      <c r="B34" s="1"/>
      <c r="C34" s="1"/>
      <c r="D34" s="1"/>
      <c r="E34" s="1"/>
      <c r="F34" s="1"/>
      <c r="G34" s="13"/>
      <c r="H34" s="13"/>
      <c r="I34" s="13"/>
    </row>
    <row r="35" spans="1:9" x14ac:dyDescent="0.2">
      <c r="A35" s="1"/>
      <c r="B35" s="1"/>
      <c r="C35" s="1"/>
      <c r="D35" s="1"/>
      <c r="E35" s="1"/>
      <c r="F35" s="1"/>
      <c r="G35" s="13"/>
      <c r="H35" s="13"/>
      <c r="I35" s="13"/>
    </row>
    <row r="36" spans="1:9" x14ac:dyDescent="0.2">
      <c r="A36" s="1"/>
      <c r="B36" s="1"/>
      <c r="C36" s="1"/>
      <c r="D36" s="1"/>
      <c r="E36" s="1"/>
      <c r="F36" s="1"/>
      <c r="G36" s="13"/>
      <c r="H36" s="13"/>
      <c r="I36" s="13"/>
    </row>
    <row r="37" spans="1:9" x14ac:dyDescent="0.2">
      <c r="A37" s="1"/>
      <c r="B37" s="1"/>
      <c r="C37" s="1"/>
      <c r="D37" s="1"/>
      <c r="E37" s="1"/>
      <c r="F37" s="1"/>
      <c r="G37" s="13"/>
      <c r="H37" s="13"/>
      <c r="I37" s="13"/>
    </row>
    <row r="38" spans="1:9" x14ac:dyDescent="0.2">
      <c r="A38" s="1"/>
      <c r="B38" s="1"/>
      <c r="C38" s="1"/>
      <c r="D38" s="1"/>
      <c r="E38" s="1"/>
      <c r="F38" s="1"/>
      <c r="G38" s="13"/>
      <c r="H38" s="13"/>
      <c r="I38" s="13"/>
    </row>
    <row r="39" spans="1:9" x14ac:dyDescent="0.2">
      <c r="A39" s="1"/>
      <c r="B39" s="1"/>
      <c r="C39" s="1"/>
      <c r="D39" s="1"/>
      <c r="E39" s="1"/>
      <c r="F39" s="1"/>
      <c r="G39" s="13"/>
      <c r="H39" s="13"/>
      <c r="I39" s="13"/>
    </row>
  </sheetData>
  <phoneticPr fontId="5" type="noConversion"/>
  <pageMargins left="1" right="1" top="1" bottom="1" header="0.5" footer="0.5"/>
  <pageSetup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95" r:id="rId4" name="Button 79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5" name="Button 80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6" name="Button 81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7" name="Button 82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" name="Button 83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9" name="Button 84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10" name="Button 8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11" name="Button 8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12" name="Button 8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13" name="Button 88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14" name="Button 89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3"/>
  <sheetViews>
    <sheetView defaultGridColor="0" colorId="22" zoomScale="75" workbookViewId="0">
      <selection activeCell="G3" sqref="G3"/>
    </sheetView>
  </sheetViews>
  <sheetFormatPr defaultColWidth="9.77734375" defaultRowHeight="15" x14ac:dyDescent="0.2"/>
  <sheetData>
    <row r="3" spans="1:1" x14ac:dyDescent="0.2">
      <c r="A3" t="s">
        <v>151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Q26"/>
  <sheetViews>
    <sheetView defaultGridColor="0" topLeftCell="D8" colorId="22" zoomScale="75" workbookViewId="0">
      <selection activeCell="E25" sqref="E25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4.77734375" style="94" customWidth="1"/>
    <col min="5" max="5" width="11.44140625" style="94" customWidth="1"/>
    <col min="6" max="6" width="10.5546875" style="94" customWidth="1"/>
    <col min="7" max="7" width="29.5546875" style="94" customWidth="1"/>
    <col min="8" max="8" width="9.33203125" style="94" customWidth="1"/>
    <col min="9" max="9" width="12.109375" style="94" customWidth="1"/>
    <col min="10" max="11" width="9.77734375" style="94"/>
    <col min="12" max="12" width="14.109375" style="94" customWidth="1"/>
    <col min="13" max="16384" width="9.77734375" style="94"/>
  </cols>
  <sheetData>
    <row r="1" spans="1:17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I1" s="211" t="str">
        <f>General!F1</f>
        <v>Rocky Mountain Mine</v>
      </c>
    </row>
    <row r="2" spans="1:17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179" t="s">
        <v>152</v>
      </c>
    </row>
    <row r="3" spans="1:17" x14ac:dyDescent="0.2">
      <c r="A3" s="10"/>
      <c r="B3" s="10"/>
      <c r="C3" s="10"/>
      <c r="D3" s="5" t="s">
        <v>153</v>
      </c>
      <c r="E3" s="66"/>
      <c r="F3" s="66"/>
      <c r="G3" s="66"/>
      <c r="H3" s="66"/>
      <c r="I3" s="167">
        <f ca="1">TODAY()</f>
        <v>43949</v>
      </c>
    </row>
    <row r="4" spans="1:17" x14ac:dyDescent="0.2">
      <c r="A4" s="10"/>
      <c r="B4" s="10"/>
      <c r="C4" s="10"/>
      <c r="D4" s="66"/>
      <c r="E4" s="66"/>
      <c r="F4" s="66"/>
      <c r="G4" s="66"/>
      <c r="H4" s="66"/>
      <c r="I4" s="161" t="s">
        <v>273</v>
      </c>
    </row>
    <row r="5" spans="1:17" ht="15.75" x14ac:dyDescent="0.25">
      <c r="A5" s="10"/>
      <c r="B5" s="10"/>
      <c r="C5" s="10"/>
      <c r="D5" s="120" t="s">
        <v>75</v>
      </c>
      <c r="E5" s="121" t="str">
        <f>'3...Material'!E11</f>
        <v>Move topsoil stockpile into BLM (E3) Pit Area</v>
      </c>
      <c r="F5" s="121"/>
      <c r="G5" s="121"/>
      <c r="H5" s="121"/>
      <c r="I5" s="124"/>
    </row>
    <row r="6" spans="1:17" x14ac:dyDescent="0.2">
      <c r="A6" s="10"/>
      <c r="B6" s="10"/>
      <c r="C6" s="10"/>
      <c r="D6" s="125"/>
      <c r="E6" s="126"/>
      <c r="F6" s="126"/>
      <c r="G6" s="126"/>
      <c r="H6" s="126"/>
      <c r="I6" s="127"/>
    </row>
    <row r="7" spans="1:17" ht="15.75" x14ac:dyDescent="0.25">
      <c r="A7" s="10"/>
      <c r="B7" s="10"/>
      <c r="C7" s="10"/>
      <c r="D7" s="122" t="s">
        <v>76</v>
      </c>
      <c r="E7" s="89" t="s">
        <v>314</v>
      </c>
      <c r="F7" s="67"/>
      <c r="G7" s="67"/>
      <c r="H7" s="68"/>
      <c r="I7" s="127"/>
      <c r="J7" s="158" t="s">
        <v>299</v>
      </c>
      <c r="K7" s="158"/>
      <c r="L7" s="158"/>
      <c r="M7" s="158"/>
      <c r="N7" s="158"/>
      <c r="O7" s="158"/>
      <c r="P7" s="158"/>
      <c r="Q7" s="158"/>
    </row>
    <row r="8" spans="1:17" x14ac:dyDescent="0.2">
      <c r="A8" s="10"/>
      <c r="B8" s="10"/>
      <c r="C8" s="10"/>
      <c r="D8" s="123"/>
      <c r="E8" s="70"/>
      <c r="F8" s="71"/>
      <c r="G8" s="71"/>
      <c r="H8" s="72"/>
      <c r="I8" s="127"/>
    </row>
    <row r="9" spans="1:17" x14ac:dyDescent="0.2">
      <c r="A9" s="10"/>
      <c r="B9" s="10"/>
      <c r="C9" s="10"/>
      <c r="D9" s="125"/>
      <c r="E9" s="126"/>
      <c r="F9" s="126"/>
      <c r="G9" s="126"/>
      <c r="H9" s="126"/>
      <c r="I9" s="127"/>
    </row>
    <row r="10" spans="1:17" ht="15.75" x14ac:dyDescent="0.25">
      <c r="A10" s="10"/>
      <c r="B10" s="10"/>
      <c r="C10" s="10"/>
      <c r="D10" s="147" t="s">
        <v>56</v>
      </c>
      <c r="E10" s="148">
        <f>'3...Material'!F11</f>
        <v>14060.2</v>
      </c>
      <c r="F10" s="149" t="s">
        <v>78</v>
      </c>
      <c r="G10" s="150" t="s">
        <v>79</v>
      </c>
      <c r="H10" s="145">
        <f>E10/H11</f>
        <v>24.420347368421055</v>
      </c>
      <c r="I10" s="151" t="s">
        <v>80</v>
      </c>
    </row>
    <row r="11" spans="1:17" ht="15.75" x14ac:dyDescent="0.25">
      <c r="A11" s="10"/>
      <c r="B11" s="10"/>
      <c r="C11" s="10"/>
      <c r="D11" s="122"/>
      <c r="E11" s="152"/>
      <c r="F11" s="153"/>
      <c r="G11" s="154" t="s">
        <v>81</v>
      </c>
      <c r="H11" s="146">
        <f>AVERAGEA(E13:E14)*E18/(H13+H14+H15+H17)</f>
        <v>575.75757575757575</v>
      </c>
      <c r="I11" s="155" t="s">
        <v>154</v>
      </c>
      <c r="K11" s="146"/>
    </row>
    <row r="12" spans="1:17" ht="15.75" thickBot="1" x14ac:dyDescent="0.25">
      <c r="A12" s="10"/>
      <c r="B12" s="10"/>
      <c r="C12" s="10"/>
      <c r="D12" s="129" t="s">
        <v>83</v>
      </c>
      <c r="E12" s="130"/>
      <c r="F12" s="131"/>
      <c r="G12" s="130"/>
      <c r="H12" s="130"/>
      <c r="I12" s="132"/>
    </row>
    <row r="13" spans="1:17" ht="15.75" thickTop="1" x14ac:dyDescent="0.2">
      <c r="A13" s="10"/>
      <c r="B13" s="10"/>
      <c r="C13" s="10"/>
      <c r="D13" s="123" t="s">
        <v>133</v>
      </c>
      <c r="E13" s="128">
        <v>32</v>
      </c>
      <c r="F13" s="119" t="s">
        <v>78</v>
      </c>
      <c r="G13" s="119" t="s">
        <v>155</v>
      </c>
      <c r="H13" s="128">
        <v>0.6</v>
      </c>
      <c r="I13" s="133" t="s">
        <v>122</v>
      </c>
    </row>
    <row r="14" spans="1:17" x14ac:dyDescent="0.2">
      <c r="A14" s="10"/>
      <c r="B14" s="10"/>
      <c r="C14" s="10"/>
      <c r="D14" s="123" t="s">
        <v>134</v>
      </c>
      <c r="E14" s="128">
        <v>44</v>
      </c>
      <c r="F14" s="119" t="s">
        <v>78</v>
      </c>
      <c r="G14" s="119" t="s">
        <v>156</v>
      </c>
      <c r="H14" s="128">
        <v>1.1000000000000001</v>
      </c>
      <c r="I14" s="133" t="s">
        <v>122</v>
      </c>
    </row>
    <row r="15" spans="1:17" x14ac:dyDescent="0.2">
      <c r="A15" s="10"/>
      <c r="B15" s="10"/>
      <c r="C15" s="10"/>
      <c r="D15" s="123" t="s">
        <v>157</v>
      </c>
      <c r="E15" s="128">
        <v>0</v>
      </c>
      <c r="F15" s="119" t="s">
        <v>144</v>
      </c>
      <c r="G15" s="119" t="s">
        <v>235</v>
      </c>
      <c r="H15" s="128">
        <v>0.6</v>
      </c>
      <c r="I15" s="133" t="s">
        <v>122</v>
      </c>
    </row>
    <row r="16" spans="1:17" x14ac:dyDescent="0.2">
      <c r="A16" s="10"/>
      <c r="B16" s="10"/>
      <c r="C16" s="10"/>
      <c r="D16" s="123" t="s">
        <v>145</v>
      </c>
      <c r="E16" s="128">
        <v>5</v>
      </c>
      <c r="F16" s="119" t="s">
        <v>144</v>
      </c>
      <c r="G16" s="119" t="s">
        <v>222</v>
      </c>
      <c r="H16" s="128"/>
      <c r="I16" s="133"/>
    </row>
    <row r="17" spans="1:9" x14ac:dyDescent="0.2">
      <c r="A17" s="10"/>
      <c r="B17" s="10"/>
      <c r="C17" s="10"/>
      <c r="D17" s="123" t="s">
        <v>158</v>
      </c>
      <c r="E17" s="128">
        <v>1500</v>
      </c>
      <c r="F17" s="119" t="s">
        <v>109</v>
      </c>
      <c r="G17" s="119" t="s">
        <v>159</v>
      </c>
      <c r="H17" s="128">
        <v>1</v>
      </c>
      <c r="I17" s="133" t="s">
        <v>122</v>
      </c>
    </row>
    <row r="18" spans="1:9" x14ac:dyDescent="0.2">
      <c r="A18" s="10"/>
      <c r="B18" s="10"/>
      <c r="C18" s="10"/>
      <c r="D18" s="212" t="s">
        <v>87</v>
      </c>
      <c r="E18" s="213">
        <v>50</v>
      </c>
      <c r="F18" s="214" t="s">
        <v>122</v>
      </c>
      <c r="G18" s="215"/>
      <c r="H18" s="215"/>
      <c r="I18" s="216"/>
    </row>
    <row r="19" spans="1:9" x14ac:dyDescent="0.2">
      <c r="A19" s="10"/>
      <c r="B19" s="10"/>
      <c r="C19" s="10"/>
    </row>
    <row r="20" spans="1:9" x14ac:dyDescent="0.2">
      <c r="A20" s="10"/>
      <c r="B20" s="10"/>
      <c r="C20" s="10"/>
    </row>
    <row r="21" spans="1:9" ht="15.75" x14ac:dyDescent="0.25">
      <c r="A21" s="10"/>
      <c r="B21" s="10"/>
      <c r="C21" s="10"/>
      <c r="E21" s="140" t="s">
        <v>239</v>
      </c>
    </row>
    <row r="22" spans="1:9" x14ac:dyDescent="0.2">
      <c r="E22" s="94" t="s">
        <v>245</v>
      </c>
    </row>
    <row r="23" spans="1:9" x14ac:dyDescent="0.2">
      <c r="E23" s="94" t="s">
        <v>244</v>
      </c>
    </row>
    <row r="25" spans="1:9" x14ac:dyDescent="0.2">
      <c r="E25" s="94" t="s">
        <v>256</v>
      </c>
    </row>
    <row r="26" spans="1:9" x14ac:dyDescent="0.2">
      <c r="E26" s="94" t="s">
        <v>257</v>
      </c>
    </row>
  </sheetData>
  <phoneticPr fontId="5" type="noConversion"/>
  <pageMargins left="1" right="1" top="1" bottom="1" header="0.5" footer="0.5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0" r:id="rId4" name="Button 9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5" name="Button 9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6" name="Button 9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7" name="Button 9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8" name="Button 9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" name="Button 9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10" name="Button 9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1" name="Button 9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2" name="Button 9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3" name="Button 9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A3"/>
  <sheetViews>
    <sheetView defaultGridColor="0" colorId="22" zoomScale="75" workbookViewId="0">
      <selection activeCell="A3" sqref="A3"/>
    </sheetView>
  </sheetViews>
  <sheetFormatPr defaultColWidth="9.77734375" defaultRowHeight="15" x14ac:dyDescent="0.2"/>
  <sheetData>
    <row r="3" spans="1:1" x14ac:dyDescent="0.2">
      <c r="A3" t="s">
        <v>160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AE28"/>
  <sheetViews>
    <sheetView tabSelected="1" defaultGridColor="0" topLeftCell="D9" colorId="22" zoomScale="75" workbookViewId="0">
      <selection activeCell="J40" sqref="J40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9.44140625" style="94" customWidth="1"/>
    <col min="5" max="5" width="62.109375" style="94" customWidth="1"/>
    <col min="6" max="6" width="12.6640625" style="94" customWidth="1"/>
    <col min="7" max="7" width="9.77734375" style="94" customWidth="1"/>
    <col min="8" max="8" width="7.77734375" style="94" customWidth="1"/>
    <col min="9" max="9" width="9.5546875" style="94" customWidth="1"/>
    <col min="10" max="10" width="11.109375" style="94" customWidth="1"/>
    <col min="11" max="11" width="5.77734375" style="94" customWidth="1"/>
    <col min="12" max="12" width="12.44140625" style="94" customWidth="1"/>
    <col min="13" max="13" width="5.77734375" style="94" customWidth="1"/>
    <col min="14" max="16384" width="9.77734375" style="94"/>
  </cols>
  <sheetData>
    <row r="1" spans="1:25" x14ac:dyDescent="0.2">
      <c r="A1" s="10"/>
      <c r="B1" s="10"/>
      <c r="C1" s="10"/>
      <c r="D1" s="66" t="s">
        <v>0</v>
      </c>
      <c r="E1" s="66"/>
      <c r="F1" s="66"/>
      <c r="G1" s="66"/>
      <c r="H1" s="66"/>
      <c r="I1" s="66"/>
      <c r="J1" s="66"/>
      <c r="K1" s="66"/>
      <c r="L1" s="179" t="str">
        <f>General!F1</f>
        <v>Rocky Mountain Mine</v>
      </c>
    </row>
    <row r="2" spans="1:25" x14ac:dyDescent="0.2">
      <c r="A2" s="10"/>
      <c r="B2" s="10"/>
      <c r="C2" s="10"/>
      <c r="D2" s="66" t="s">
        <v>2</v>
      </c>
      <c r="E2" s="66"/>
      <c r="F2" s="66"/>
      <c r="G2" s="66"/>
      <c r="H2" s="66"/>
      <c r="I2" s="66"/>
      <c r="J2" s="66"/>
      <c r="K2" s="66"/>
      <c r="L2" s="179" t="s">
        <v>161</v>
      </c>
    </row>
    <row r="3" spans="1:25" x14ac:dyDescent="0.2">
      <c r="A3" s="10"/>
      <c r="B3" s="10"/>
      <c r="C3" s="10"/>
      <c r="D3" s="5" t="s">
        <v>162</v>
      </c>
      <c r="E3" s="66"/>
      <c r="F3" s="66"/>
      <c r="G3" s="66"/>
      <c r="H3" s="66"/>
      <c r="I3" s="66"/>
      <c r="J3" s="66"/>
      <c r="K3" s="66"/>
      <c r="L3" s="96">
        <f ca="1">TODAY()</f>
        <v>43949</v>
      </c>
    </row>
    <row r="4" spans="1:25" x14ac:dyDescent="0.2">
      <c r="A4" s="10"/>
      <c r="B4" s="10"/>
      <c r="C4" s="10"/>
      <c r="D4" s="66"/>
      <c r="E4" s="66"/>
      <c r="F4" s="66"/>
      <c r="G4" s="66"/>
      <c r="H4" s="66"/>
      <c r="I4" s="66"/>
      <c r="J4" s="66"/>
      <c r="K4" s="66"/>
      <c r="L4" s="162" t="s">
        <v>273</v>
      </c>
    </row>
    <row r="5" spans="1:25" ht="15.75" x14ac:dyDescent="0.25">
      <c r="A5" s="10"/>
      <c r="B5" s="10"/>
      <c r="C5" s="10"/>
      <c r="D5" s="66"/>
      <c r="E5" s="78"/>
      <c r="F5" s="92" t="s">
        <v>34</v>
      </c>
      <c r="G5" s="93">
        <f>I27</f>
        <v>26140.809662873209</v>
      </c>
      <c r="H5" s="78"/>
      <c r="I5" s="78"/>
      <c r="J5" s="78"/>
      <c r="K5" s="78"/>
      <c r="L5" s="78"/>
    </row>
    <row r="6" spans="1:25" x14ac:dyDescent="0.2">
      <c r="A6" s="10"/>
      <c r="B6" s="10"/>
      <c r="C6" s="10"/>
      <c r="D6" s="66"/>
      <c r="E6" s="78"/>
      <c r="F6" s="78"/>
      <c r="G6" s="78"/>
      <c r="H6" s="78"/>
      <c r="I6" s="78"/>
      <c r="J6" s="78"/>
      <c r="K6" s="78"/>
      <c r="L6" s="78"/>
    </row>
    <row r="7" spans="1:25" x14ac:dyDescent="0.2">
      <c r="A7" s="10"/>
      <c r="B7" s="10"/>
      <c r="C7" s="10"/>
      <c r="D7" s="66"/>
      <c r="E7" s="78"/>
      <c r="F7" s="78"/>
      <c r="G7" s="78"/>
      <c r="H7" s="78"/>
      <c r="I7" s="78"/>
      <c r="J7" s="78"/>
      <c r="K7" s="78"/>
      <c r="L7" s="78"/>
    </row>
    <row r="8" spans="1:25" ht="15.75" x14ac:dyDescent="0.25">
      <c r="A8" s="10"/>
      <c r="B8" s="10"/>
      <c r="C8" s="12"/>
      <c r="D8" s="217" t="s">
        <v>61</v>
      </c>
      <c r="E8" s="217"/>
      <c r="F8" s="218" t="s">
        <v>163</v>
      </c>
      <c r="G8" s="261" t="s">
        <v>164</v>
      </c>
      <c r="H8" s="218" t="s">
        <v>79</v>
      </c>
      <c r="I8" s="218" t="s">
        <v>165</v>
      </c>
      <c r="J8" s="218" t="s">
        <v>165</v>
      </c>
      <c r="K8" s="218" t="s">
        <v>166</v>
      </c>
      <c r="L8" s="218" t="s">
        <v>35</v>
      </c>
    </row>
    <row r="9" spans="1:25" x14ac:dyDescent="0.2">
      <c r="A9" s="10"/>
      <c r="B9" s="10"/>
      <c r="C9" s="10"/>
      <c r="D9" s="78" t="s">
        <v>167</v>
      </c>
      <c r="E9" s="78"/>
      <c r="F9" s="219" t="s">
        <v>128</v>
      </c>
      <c r="G9" s="262" t="s">
        <v>42</v>
      </c>
      <c r="H9" s="219" t="s">
        <v>168</v>
      </c>
      <c r="I9" s="219" t="s">
        <v>42</v>
      </c>
      <c r="J9" s="219" t="s">
        <v>169</v>
      </c>
      <c r="K9" s="219" t="s">
        <v>35</v>
      </c>
      <c r="L9" s="219" t="s">
        <v>42</v>
      </c>
    </row>
    <row r="10" spans="1:25" x14ac:dyDescent="0.2">
      <c r="A10" s="10"/>
      <c r="B10" s="10"/>
      <c r="C10" s="10"/>
      <c r="D10" s="86"/>
      <c r="E10" s="86"/>
      <c r="F10" s="220" t="s">
        <v>170</v>
      </c>
      <c r="G10" s="263" t="s">
        <v>170</v>
      </c>
      <c r="H10" s="220" t="s">
        <v>171</v>
      </c>
      <c r="I10" s="220" t="s">
        <v>45</v>
      </c>
      <c r="J10" s="220"/>
      <c r="K10" s="220"/>
      <c r="L10" s="220" t="s">
        <v>44</v>
      </c>
    </row>
    <row r="11" spans="1:25" ht="15.75" x14ac:dyDescent="0.25">
      <c r="A11" s="10"/>
      <c r="B11" s="10"/>
      <c r="C11" s="10"/>
      <c r="D11" s="18" t="s">
        <v>172</v>
      </c>
      <c r="E11" s="66"/>
      <c r="F11" s="221"/>
      <c r="G11" s="221"/>
      <c r="H11" s="176"/>
      <c r="I11" s="176"/>
      <c r="J11" s="176"/>
      <c r="K11" s="66"/>
      <c r="L11" s="221"/>
      <c r="N11" s="158" t="s">
        <v>340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271"/>
    </row>
    <row r="12" spans="1:25" x14ac:dyDescent="0.2">
      <c r="A12" s="10"/>
      <c r="B12" s="10"/>
      <c r="C12" s="10"/>
      <c r="D12" s="66"/>
      <c r="E12" s="66" t="s">
        <v>315</v>
      </c>
      <c r="F12" s="328">
        <v>267.5</v>
      </c>
      <c r="G12" s="260">
        <v>43.85</v>
      </c>
      <c r="H12" s="222">
        <f>'5...Dozer'!H11</f>
        <v>16.227704347826087</v>
      </c>
      <c r="I12" s="182">
        <f t="shared" ref="I12:I13" si="0">(F12+G12)*H12</f>
        <v>5052.4957486956528</v>
      </c>
      <c r="J12" s="177">
        <f>'5...Dozer'!E11</f>
        <v>54307</v>
      </c>
      <c r="K12" s="105" t="s">
        <v>78</v>
      </c>
      <c r="L12" s="221">
        <f t="shared" ref="L12:L13" si="1">I12/J12</f>
        <v>9.3035810276679856E-2</v>
      </c>
      <c r="N12" s="158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271"/>
    </row>
    <row r="13" spans="1:25" x14ac:dyDescent="0.2">
      <c r="A13" s="10"/>
      <c r="B13" s="10"/>
      <c r="C13" s="10"/>
      <c r="D13" s="66"/>
      <c r="E13" s="66" t="str">
        <f>'5...Dozer'!E22</f>
        <v>Cover Pit Bottom, BLM (E3)</v>
      </c>
      <c r="F13" s="328">
        <v>267.5</v>
      </c>
      <c r="G13" s="260">
        <v>43.85</v>
      </c>
      <c r="H13" s="223">
        <v>31</v>
      </c>
      <c r="I13" s="224">
        <f t="shared" si="0"/>
        <v>9651.85</v>
      </c>
      <c r="J13" s="225">
        <v>14060.2</v>
      </c>
      <c r="K13" s="105" t="s">
        <v>78</v>
      </c>
      <c r="L13" s="221">
        <f t="shared" si="1"/>
        <v>0.68646605311446496</v>
      </c>
      <c r="N13" s="158" t="s">
        <v>343</v>
      </c>
      <c r="O13" s="158"/>
      <c r="P13" s="158"/>
      <c r="Q13" s="158"/>
    </row>
    <row r="14" spans="1:25" x14ac:dyDescent="0.2">
      <c r="A14" s="10"/>
      <c r="B14" s="10"/>
      <c r="C14" s="10"/>
      <c r="D14" s="66"/>
      <c r="F14" s="335"/>
      <c r="G14" s="264"/>
      <c r="H14" s="103"/>
      <c r="I14" s="103"/>
      <c r="N14" s="323" t="s">
        <v>396</v>
      </c>
      <c r="O14" s="323"/>
      <c r="P14" s="323"/>
      <c r="Q14" s="323"/>
      <c r="R14" s="323"/>
      <c r="S14" s="323"/>
      <c r="T14" s="323"/>
    </row>
    <row r="15" spans="1:25" ht="15.75" x14ac:dyDescent="0.25">
      <c r="A15" s="10"/>
      <c r="B15" s="10"/>
      <c r="C15" s="10"/>
      <c r="E15" s="66"/>
      <c r="F15" s="328"/>
      <c r="G15" s="260"/>
      <c r="H15" s="222"/>
      <c r="I15" s="141"/>
      <c r="J15" s="176"/>
      <c r="K15" s="66"/>
      <c r="L15" s="221"/>
      <c r="N15" s="142"/>
    </row>
    <row r="16" spans="1:25" ht="15.75" x14ac:dyDescent="0.25">
      <c r="A16" s="10"/>
      <c r="B16" s="10"/>
      <c r="C16" s="10"/>
      <c r="D16" s="18" t="s">
        <v>173</v>
      </c>
      <c r="E16" s="66" t="str">
        <f>'6...Grading'!E7</f>
        <v>D9 - Grade Disturbed Areas</v>
      </c>
      <c r="F16" s="328">
        <v>267.5</v>
      </c>
      <c r="G16" s="260">
        <v>43.85</v>
      </c>
      <c r="H16" s="222">
        <f>'6...Grading'!H10</f>
        <v>2.141891977954685</v>
      </c>
      <c r="I16" s="182">
        <f>(F16+G16)*H16</f>
        <v>666.87806733619118</v>
      </c>
      <c r="J16" s="175">
        <f>'6...Grading'!E10</f>
        <v>14.02</v>
      </c>
      <c r="K16" s="66" t="s">
        <v>99</v>
      </c>
      <c r="L16" s="221">
        <f>I16/J16</f>
        <v>47.566195958358861</v>
      </c>
      <c r="N16" s="142"/>
    </row>
    <row r="17" spans="1:31" x14ac:dyDescent="0.2">
      <c r="A17" s="10"/>
      <c r="B17" s="10"/>
      <c r="C17" s="10"/>
      <c r="D17" s="66"/>
      <c r="E17" s="66"/>
      <c r="F17" s="336"/>
      <c r="G17" s="265"/>
      <c r="H17" s="222"/>
      <c r="I17" s="103"/>
      <c r="N17" s="142"/>
    </row>
    <row r="18" spans="1:31" x14ac:dyDescent="0.2">
      <c r="A18" s="10"/>
      <c r="B18" s="10"/>
      <c r="C18" s="10"/>
      <c r="D18" s="66"/>
      <c r="E18" s="66"/>
      <c r="F18" s="328"/>
      <c r="G18" s="260"/>
      <c r="H18" s="222"/>
      <c r="I18" s="182"/>
      <c r="J18" s="176"/>
      <c r="K18" s="66"/>
      <c r="L18" s="221"/>
      <c r="N18" s="142"/>
    </row>
    <row r="19" spans="1:31" ht="15.75" x14ac:dyDescent="0.25">
      <c r="A19" s="10"/>
      <c r="B19" s="10"/>
      <c r="C19" s="10"/>
      <c r="D19" s="18" t="s">
        <v>174</v>
      </c>
      <c r="E19" s="66" t="str">
        <f>'7...Ripper'!E9</f>
        <v>D9---Roads Outside Pit Area</v>
      </c>
      <c r="F19" s="328">
        <v>267.5</v>
      </c>
      <c r="G19" s="260">
        <v>43.85</v>
      </c>
      <c r="H19" s="226">
        <f>'7...Ripper'!H12</f>
        <v>0.74576802507837014</v>
      </c>
      <c r="I19" s="182">
        <f>(F19+G19)*H19</f>
        <v>232.19487460815057</v>
      </c>
      <c r="J19" s="175">
        <f>'7...Ripper'!E12</f>
        <v>0.71625344352617082</v>
      </c>
      <c r="K19" s="105" t="s">
        <v>99</v>
      </c>
      <c r="L19" s="221">
        <f>I19/J19</f>
        <v>324.17976724137947</v>
      </c>
      <c r="N19" s="142"/>
    </row>
    <row r="20" spans="1:31" x14ac:dyDescent="0.2">
      <c r="A20" s="10"/>
      <c r="B20" s="10"/>
      <c r="C20" s="10"/>
      <c r="D20" s="66"/>
      <c r="E20" s="66" t="str">
        <f>'7...Ripper'!E24</f>
        <v>D9---BLM (E3)</v>
      </c>
      <c r="F20" s="328">
        <v>267.5</v>
      </c>
      <c r="G20" s="260">
        <v>43.85</v>
      </c>
      <c r="H20" s="222">
        <f>'7...Ripper'!H27</f>
        <v>10.135244482758621</v>
      </c>
      <c r="I20" s="182">
        <f>(F20+G20)*H20</f>
        <v>3155.6083697068966</v>
      </c>
      <c r="J20" s="175">
        <f>'7...Ripper'!E27</f>
        <v>11.62</v>
      </c>
      <c r="K20" s="105" t="s">
        <v>99</v>
      </c>
      <c r="L20" s="221">
        <f>I20/J20</f>
        <v>271.56698534482763</v>
      </c>
      <c r="N20" s="142"/>
    </row>
    <row r="21" spans="1:31" x14ac:dyDescent="0.2">
      <c r="A21" s="66"/>
      <c r="B21" s="66"/>
      <c r="C21" s="66"/>
      <c r="D21" s="66"/>
      <c r="E21" s="66"/>
      <c r="F21" s="328"/>
      <c r="G21" s="260"/>
      <c r="H21" s="182"/>
      <c r="I21" s="182"/>
      <c r="J21" s="176"/>
      <c r="K21" s="66"/>
      <c r="L21" s="221"/>
      <c r="N21" s="142"/>
    </row>
    <row r="22" spans="1:31" x14ac:dyDescent="0.2">
      <c r="A22" s="66"/>
      <c r="B22" s="66"/>
      <c r="C22" s="66"/>
      <c r="D22" s="66"/>
      <c r="F22" s="103"/>
      <c r="G22" s="264"/>
      <c r="H22" s="103"/>
      <c r="I22" s="103"/>
      <c r="N22" s="142"/>
    </row>
    <row r="23" spans="1:31" ht="15.75" x14ac:dyDescent="0.25">
      <c r="A23" s="66"/>
      <c r="B23" s="66"/>
      <c r="C23" s="66"/>
      <c r="D23" s="18" t="s">
        <v>175</v>
      </c>
      <c r="E23" s="66" t="str">
        <f>'11...Scraper'!E7</f>
        <v>657G - Move topsoil stockpile into open mining block (E3)</v>
      </c>
      <c r="F23" s="328">
        <v>258.43</v>
      </c>
      <c r="G23" s="328">
        <v>43.85</v>
      </c>
      <c r="H23" s="329">
        <f>'11...Scraper'!H10</f>
        <v>24.420347368421055</v>
      </c>
      <c r="I23" s="330">
        <f>(F23+G23)*H23</f>
        <v>7381.7826025263175</v>
      </c>
      <c r="J23" s="325">
        <f>'11...Scraper'!E10</f>
        <v>14060.2</v>
      </c>
      <c r="K23" s="331" t="s">
        <v>78</v>
      </c>
      <c r="L23" s="332">
        <f>I23/J23</f>
        <v>0.52501263157894751</v>
      </c>
      <c r="M23" s="323"/>
      <c r="N23" s="323" t="s">
        <v>395</v>
      </c>
      <c r="O23" s="323"/>
      <c r="P23" s="323"/>
      <c r="Q23" s="323"/>
      <c r="R23" s="323"/>
      <c r="S23" s="323"/>
      <c r="T23" s="323"/>
      <c r="U23" s="323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x14ac:dyDescent="0.2">
      <c r="A24" s="66"/>
      <c r="B24" s="66"/>
      <c r="C24" s="66"/>
      <c r="D24" s="66"/>
    </row>
    <row r="25" spans="1:31" x14ac:dyDescent="0.2">
      <c r="H25" s="266">
        <f>SUM(H12:H23)</f>
        <v>84.670956202038823</v>
      </c>
      <c r="N25" s="158" t="s">
        <v>349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</row>
    <row r="27" spans="1:31" ht="15.75" x14ac:dyDescent="0.25">
      <c r="E27" s="66"/>
      <c r="F27" s="338" t="s">
        <v>223</v>
      </c>
      <c r="G27" s="338"/>
      <c r="H27" s="338"/>
      <c r="I27" s="28">
        <f>SUM(I12:I23)</f>
        <v>26140.809662873209</v>
      </c>
      <c r="N27" s="158" t="s">
        <v>350</v>
      </c>
      <c r="O27" s="158"/>
      <c r="P27" s="158"/>
      <c r="Q27" s="158"/>
    </row>
    <row r="28" spans="1:31" x14ac:dyDescent="0.2">
      <c r="A28" s="66"/>
      <c r="B28" s="66"/>
      <c r="C28" s="66"/>
      <c r="D28" s="66"/>
    </row>
  </sheetData>
  <mergeCells count="1">
    <mergeCell ref="F27:H27"/>
  </mergeCells>
  <phoneticPr fontId="5" type="noConversion"/>
  <pageMargins left="1" right="1" top="1" bottom="1" header="0.5" footer="0.5"/>
  <pageSetup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4" r:id="rId4" name="Button 10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5" name="Button 10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6" name="Button 10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7" name="Button 10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8" name="Button 10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" name="Button 10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" name="Button 10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" name="Button 10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2" name="Button 10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3" name="Button 10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X54"/>
  <sheetViews>
    <sheetView defaultGridColor="0" topLeftCell="D9" colorId="22" zoomScale="75" workbookViewId="0">
      <selection activeCell="L10" sqref="L10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4.77734375" style="94" customWidth="1"/>
    <col min="5" max="5" width="39.44140625" style="94" customWidth="1"/>
    <col min="6" max="6" width="10.77734375" style="94" customWidth="1"/>
    <col min="7" max="7" width="9.77734375" style="94"/>
    <col min="8" max="8" width="13.77734375" style="94" customWidth="1"/>
    <col min="9" max="9" width="6.77734375" style="94" customWidth="1"/>
    <col min="10" max="16384" width="9.77734375" style="94"/>
  </cols>
  <sheetData>
    <row r="1" spans="1:24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179" t="str">
        <f>General!F1</f>
        <v>Rocky Mountain Mine</v>
      </c>
    </row>
    <row r="2" spans="1:24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179" t="s">
        <v>176</v>
      </c>
    </row>
    <row r="3" spans="1:24" x14ac:dyDescent="0.2">
      <c r="A3" s="10"/>
      <c r="B3" s="10"/>
      <c r="C3" s="10"/>
      <c r="D3" s="5" t="s">
        <v>177</v>
      </c>
      <c r="E3" s="66"/>
      <c r="F3" s="66"/>
      <c r="G3" s="66"/>
      <c r="H3" s="96">
        <f ca="1">TODAY()</f>
        <v>43949</v>
      </c>
    </row>
    <row r="4" spans="1:24" x14ac:dyDescent="0.2">
      <c r="A4" s="10"/>
      <c r="B4" s="10"/>
      <c r="C4" s="10"/>
      <c r="D4" s="5"/>
      <c r="E4" s="66"/>
      <c r="F4" s="66"/>
      <c r="G4" s="66"/>
      <c r="H4" s="162" t="s">
        <v>273</v>
      </c>
    </row>
    <row r="5" spans="1:24" ht="15.75" x14ac:dyDescent="0.25">
      <c r="A5" s="10"/>
      <c r="B5" s="10"/>
      <c r="C5" s="10"/>
      <c r="D5" s="18" t="s">
        <v>75</v>
      </c>
    </row>
    <row r="6" spans="1:24" x14ac:dyDescent="0.2">
      <c r="A6" s="10"/>
      <c r="B6" s="10"/>
      <c r="C6" s="10"/>
      <c r="D6" s="5"/>
      <c r="E6" s="158" t="s">
        <v>178</v>
      </c>
    </row>
    <row r="7" spans="1:24" x14ac:dyDescent="0.2">
      <c r="A7" s="10"/>
      <c r="B7" s="10"/>
      <c r="C7" s="10"/>
      <c r="D7" s="5"/>
      <c r="E7" s="158" t="s">
        <v>179</v>
      </c>
    </row>
    <row r="8" spans="1:24" ht="15.75" x14ac:dyDescent="0.25">
      <c r="A8" s="10"/>
      <c r="B8" s="10"/>
      <c r="C8" s="12"/>
      <c r="D8" s="5"/>
    </row>
    <row r="9" spans="1:24" ht="15.75" x14ac:dyDescent="0.25">
      <c r="A9" s="10"/>
      <c r="B9" s="10"/>
      <c r="C9" s="10"/>
      <c r="D9" s="5"/>
      <c r="E9" s="51" t="s">
        <v>29</v>
      </c>
      <c r="F9" s="217" t="s">
        <v>30</v>
      </c>
      <c r="G9" s="227">
        <v>1.0069999999999999</v>
      </c>
    </row>
    <row r="10" spans="1:24" ht="15.75" x14ac:dyDescent="0.25">
      <c r="A10" s="10"/>
      <c r="B10" s="10"/>
      <c r="C10" s="10"/>
      <c r="D10" s="5"/>
      <c r="E10" s="14" t="s">
        <v>34</v>
      </c>
      <c r="F10" s="86"/>
      <c r="G10" s="24">
        <f>H23*$G$9</f>
        <v>15175.489999999998</v>
      </c>
      <c r="J10" s="94">
        <f>1.6*15175</f>
        <v>24280</v>
      </c>
    </row>
    <row r="11" spans="1:24" x14ac:dyDescent="0.2">
      <c r="A11" s="10"/>
      <c r="B11" s="10"/>
      <c r="C11" s="10"/>
      <c r="D11" s="5"/>
    </row>
    <row r="12" spans="1:24" x14ac:dyDescent="0.2">
      <c r="A12" s="10"/>
      <c r="B12" s="10"/>
      <c r="C12" s="10"/>
      <c r="D12" s="5"/>
      <c r="G12" s="95" t="s">
        <v>35</v>
      </c>
      <c r="H12" s="95" t="s">
        <v>180</v>
      </c>
    </row>
    <row r="13" spans="1:24" x14ac:dyDescent="0.2">
      <c r="A13" s="10"/>
      <c r="B13" s="10"/>
      <c r="C13" s="10"/>
      <c r="F13" s="95" t="s">
        <v>37</v>
      </c>
      <c r="G13" s="95" t="s">
        <v>42</v>
      </c>
      <c r="H13" s="95" t="s">
        <v>42</v>
      </c>
    </row>
    <row r="14" spans="1:24" x14ac:dyDescent="0.2">
      <c r="A14" s="10"/>
      <c r="B14" s="10"/>
      <c r="C14" s="10"/>
      <c r="D14" s="66"/>
      <c r="E14" s="71" t="s">
        <v>37</v>
      </c>
      <c r="F14" s="228" t="s">
        <v>181</v>
      </c>
      <c r="G14" s="228" t="s">
        <v>182</v>
      </c>
      <c r="H14" s="228" t="s">
        <v>45</v>
      </c>
    </row>
    <row r="15" spans="1:24" x14ac:dyDescent="0.2">
      <c r="A15" s="10"/>
      <c r="B15" s="10"/>
      <c r="C15" s="10"/>
      <c r="D15" s="66"/>
      <c r="E15" s="66" t="s">
        <v>316</v>
      </c>
      <c r="F15" s="229">
        <v>14.02</v>
      </c>
      <c r="G15" s="270">
        <v>1000</v>
      </c>
      <c r="H15" s="176">
        <f>F15*G15</f>
        <v>14020</v>
      </c>
      <c r="J15" s="158" t="s">
        <v>377</v>
      </c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">
      <c r="A16" s="10"/>
      <c r="B16" s="10"/>
      <c r="C16" s="10"/>
      <c r="D16" s="66"/>
      <c r="E16" s="66" t="s">
        <v>251</v>
      </c>
      <c r="F16" s="229">
        <v>1.05</v>
      </c>
      <c r="G16" s="270">
        <v>1000</v>
      </c>
      <c r="H16" s="176">
        <f>F16*G16</f>
        <v>1050</v>
      </c>
      <c r="I16" s="230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1:24" x14ac:dyDescent="0.2">
      <c r="A17" s="10"/>
      <c r="B17" s="10"/>
      <c r="C17" s="10"/>
      <c r="D17" s="66"/>
      <c r="E17" s="66"/>
      <c r="F17" s="229"/>
      <c r="G17" s="66"/>
      <c r="H17" s="66"/>
      <c r="I17" s="230"/>
    </row>
    <row r="18" spans="1:24" x14ac:dyDescent="0.2">
      <c r="A18" s="10"/>
      <c r="B18" s="10"/>
      <c r="C18" s="10"/>
      <c r="F18" s="231"/>
      <c r="I18" s="230"/>
    </row>
    <row r="19" spans="1:24" x14ac:dyDescent="0.2">
      <c r="A19" s="10"/>
      <c r="B19" s="10"/>
      <c r="C19" s="10"/>
      <c r="F19" s="231"/>
    </row>
    <row r="20" spans="1:24" x14ac:dyDescent="0.2">
      <c r="A20" s="10"/>
      <c r="B20" s="10"/>
      <c r="C20" s="10"/>
      <c r="D20" s="66"/>
      <c r="E20" s="67"/>
      <c r="F20" s="232">
        <f>SUM(F15:F19)</f>
        <v>15.07</v>
      </c>
      <c r="G20" s="67"/>
      <c r="H20" s="233">
        <f>SUM(H15:H19)</f>
        <v>15070</v>
      </c>
    </row>
    <row r="21" spans="1:24" x14ac:dyDescent="0.2">
      <c r="A21" s="66"/>
      <c r="B21" s="66"/>
      <c r="C21" s="66"/>
      <c r="H21" s="176"/>
    </row>
    <row r="23" spans="1:24" ht="15.75" x14ac:dyDescent="0.25">
      <c r="D23" s="140" t="s">
        <v>183</v>
      </c>
      <c r="H23" s="269">
        <f>SUM(H20:H21)</f>
        <v>15070</v>
      </c>
    </row>
    <row r="24" spans="1:24" x14ac:dyDescent="0.2">
      <c r="E24" s="66" t="s">
        <v>233</v>
      </c>
      <c r="F24" s="66"/>
      <c r="G24" s="66"/>
      <c r="H24" s="66"/>
      <c r="I24" s="66"/>
      <c r="J24" s="66"/>
    </row>
    <row r="25" spans="1:24" x14ac:dyDescent="0.2">
      <c r="D25" s="66"/>
      <c r="E25" s="66" t="s">
        <v>227</v>
      </c>
      <c r="F25" s="66"/>
      <c r="G25" s="66"/>
      <c r="H25" s="234">
        <v>100.7</v>
      </c>
      <c r="I25" s="66"/>
      <c r="J25" s="66"/>
    </row>
    <row r="26" spans="1:24" x14ac:dyDescent="0.2">
      <c r="A26" s="66"/>
      <c r="B26" s="66"/>
      <c r="C26" s="66"/>
      <c r="E26" s="66" t="s">
        <v>275</v>
      </c>
      <c r="F26" s="66"/>
      <c r="G26" s="66"/>
      <c r="H26" s="66"/>
      <c r="I26" s="66"/>
      <c r="J26" s="66"/>
    </row>
    <row r="27" spans="1:24" ht="15.75" x14ac:dyDescent="0.25">
      <c r="D27" s="140" t="s">
        <v>239</v>
      </c>
    </row>
    <row r="28" spans="1:24" x14ac:dyDescent="0.2">
      <c r="E28" s="234" t="s">
        <v>360</v>
      </c>
      <c r="F28" s="234"/>
      <c r="G28" s="234"/>
      <c r="H28" s="234"/>
      <c r="I28" s="234"/>
      <c r="J28" s="234"/>
      <c r="K28" s="234"/>
      <c r="L28" s="234"/>
      <c r="M28" s="234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1:24" ht="15.75" x14ac:dyDescent="0.25">
      <c r="E29" s="313" t="s">
        <v>364</v>
      </c>
      <c r="F29" s="66"/>
      <c r="G29" s="110"/>
      <c r="H29" s="110"/>
      <c r="I29" s="110"/>
      <c r="J29" s="110"/>
      <c r="K29" s="110"/>
      <c r="L29" s="110"/>
      <c r="M29" s="110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spans="1:24" ht="30" x14ac:dyDescent="0.2">
      <c r="E30" s="312" t="s">
        <v>361</v>
      </c>
      <c r="F30" s="94">
        <v>25</v>
      </c>
      <c r="G30" s="66"/>
      <c r="H30" s="66"/>
      <c r="I30" s="66"/>
      <c r="J30" s="66"/>
      <c r="K30" s="66"/>
      <c r="L30" s="66"/>
      <c r="M30" s="66"/>
    </row>
    <row r="31" spans="1:24" ht="15.75" x14ac:dyDescent="0.25">
      <c r="E31" s="312" t="s">
        <v>365</v>
      </c>
      <c r="F31" s="316">
        <v>1670.81</v>
      </c>
      <c r="G31" s="66"/>
      <c r="H31" s="66"/>
      <c r="I31" s="66"/>
      <c r="J31" s="66"/>
      <c r="K31" s="66"/>
      <c r="L31" s="66"/>
      <c r="M31" s="66"/>
    </row>
    <row r="32" spans="1:24" ht="15.75" x14ac:dyDescent="0.25">
      <c r="E32" s="314" t="s">
        <v>351</v>
      </c>
      <c r="F32" s="110"/>
      <c r="G32" s="66"/>
      <c r="H32" s="66"/>
      <c r="I32" s="66"/>
      <c r="J32" s="66"/>
      <c r="K32" s="66"/>
      <c r="L32" s="66"/>
      <c r="M32" s="66"/>
    </row>
    <row r="33" spans="5:13" x14ac:dyDescent="0.2">
      <c r="E33" s="301" t="s">
        <v>352</v>
      </c>
      <c r="F33" s="302">
        <v>3900.8199800000002</v>
      </c>
      <c r="G33" s="66"/>
      <c r="H33" s="66"/>
      <c r="I33" s="66"/>
      <c r="J33" s="66"/>
      <c r="K33" s="66"/>
      <c r="L33" s="66"/>
      <c r="M33" s="66"/>
    </row>
    <row r="34" spans="5:13" x14ac:dyDescent="0.2">
      <c r="E34" s="301" t="s">
        <v>353</v>
      </c>
      <c r="F34" s="302">
        <v>30</v>
      </c>
      <c r="G34" s="66"/>
      <c r="H34" s="66"/>
      <c r="I34" s="66"/>
      <c r="J34" s="66"/>
      <c r="K34" s="66"/>
      <c r="L34" s="66"/>
      <c r="M34" s="66"/>
    </row>
    <row r="35" spans="5:13" x14ac:dyDescent="0.2">
      <c r="E35" s="301" t="s">
        <v>354</v>
      </c>
      <c r="F35" s="303">
        <v>16</v>
      </c>
      <c r="G35" s="66"/>
      <c r="H35" s="66"/>
      <c r="I35" s="66"/>
      <c r="J35" s="66"/>
      <c r="K35" s="66"/>
      <c r="L35" s="66"/>
      <c r="M35" s="66"/>
    </row>
    <row r="36" spans="5:13" x14ac:dyDescent="0.2">
      <c r="E36" s="301" t="s">
        <v>164</v>
      </c>
      <c r="F36" s="305">
        <v>343.51</v>
      </c>
      <c r="H36" s="305"/>
    </row>
    <row r="37" spans="5:13" x14ac:dyDescent="0.2">
      <c r="E37" s="304" t="s">
        <v>355</v>
      </c>
      <c r="F37" s="306">
        <v>448.05</v>
      </c>
      <c r="H37" s="306"/>
    </row>
    <row r="38" spans="5:13" ht="15.75" x14ac:dyDescent="0.25">
      <c r="E38" s="314" t="s">
        <v>356</v>
      </c>
      <c r="F38" s="142"/>
      <c r="H38" s="66"/>
    </row>
    <row r="39" spans="5:13" x14ac:dyDescent="0.2">
      <c r="E39" s="301" t="s">
        <v>352</v>
      </c>
      <c r="F39" s="302">
        <v>372</v>
      </c>
      <c r="H39" s="66"/>
    </row>
    <row r="40" spans="5:13" x14ac:dyDescent="0.2">
      <c r="E40" s="301" t="s">
        <v>353</v>
      </c>
      <c r="F40" s="302">
        <v>18</v>
      </c>
    </row>
    <row r="41" spans="5:13" x14ac:dyDescent="0.2">
      <c r="E41" s="301" t="s">
        <v>354</v>
      </c>
      <c r="F41" s="303">
        <v>24</v>
      </c>
    </row>
    <row r="42" spans="5:13" x14ac:dyDescent="0.2">
      <c r="E42" s="301" t="s">
        <v>164</v>
      </c>
      <c r="F42" s="302">
        <v>584.89</v>
      </c>
      <c r="H42" s="302"/>
    </row>
    <row r="43" spans="5:13" x14ac:dyDescent="0.2">
      <c r="E43" s="304" t="s">
        <v>355</v>
      </c>
      <c r="F43" s="302">
        <v>448.05</v>
      </c>
      <c r="H43" s="302"/>
    </row>
    <row r="44" spans="5:13" ht="15.75" x14ac:dyDescent="0.25">
      <c r="E44" s="309" t="s">
        <v>180</v>
      </c>
      <c r="F44" s="310">
        <v>5249.2199799999999</v>
      </c>
      <c r="H44" s="306"/>
    </row>
    <row r="45" spans="5:13" ht="15.75" x14ac:dyDescent="0.25">
      <c r="E45" s="314" t="s">
        <v>363</v>
      </c>
    </row>
    <row r="46" spans="5:13" x14ac:dyDescent="0.2">
      <c r="E46" s="301" t="s">
        <v>362</v>
      </c>
      <c r="F46" s="307">
        <v>1875</v>
      </c>
      <c r="G46" s="142"/>
    </row>
    <row r="47" spans="5:13" x14ac:dyDescent="0.2">
      <c r="E47" s="301" t="s">
        <v>358</v>
      </c>
      <c r="F47" s="307">
        <v>11312.5</v>
      </c>
      <c r="G47" s="142"/>
    </row>
    <row r="48" spans="5:13" x14ac:dyDescent="0.2">
      <c r="E48" s="142" t="s">
        <v>359</v>
      </c>
      <c r="F48" s="307">
        <v>308.31</v>
      </c>
      <c r="G48" s="142"/>
    </row>
    <row r="49" spans="5:7" ht="15.75" x14ac:dyDescent="0.25">
      <c r="E49" s="309" t="s">
        <v>378</v>
      </c>
      <c r="F49" s="310">
        <f>SUM(F46:F48)</f>
        <v>13495.81</v>
      </c>
      <c r="G49" s="142"/>
    </row>
    <row r="50" spans="5:7" x14ac:dyDescent="0.2">
      <c r="E50" s="142"/>
      <c r="F50" s="142"/>
      <c r="G50" s="142"/>
    </row>
    <row r="51" spans="5:7" ht="15.75" x14ac:dyDescent="0.25">
      <c r="E51" s="315" t="s">
        <v>367</v>
      </c>
      <c r="F51" s="306">
        <v>1670.81</v>
      </c>
    </row>
    <row r="52" spans="5:7" ht="15.75" x14ac:dyDescent="0.25">
      <c r="E52" s="308" t="s">
        <v>357</v>
      </c>
      <c r="F52" s="307">
        <v>5249.2199799999999</v>
      </c>
    </row>
    <row r="53" spans="5:7" ht="15.75" x14ac:dyDescent="0.25">
      <c r="E53" s="308" t="s">
        <v>366</v>
      </c>
      <c r="F53" s="307">
        <v>13495.81</v>
      </c>
    </row>
    <row r="54" spans="5:7" ht="15.75" x14ac:dyDescent="0.25">
      <c r="E54" s="311" t="s">
        <v>165</v>
      </c>
      <c r="F54" s="316">
        <f>SUM(F51:F53)</f>
        <v>20415.839979999997</v>
      </c>
      <c r="G54" s="27" t="s">
        <v>368</v>
      </c>
    </row>
  </sheetData>
  <phoneticPr fontId="5" type="noConversion"/>
  <pageMargins left="1" right="1" top="1" bottom="1" header="0.5" footer="0.5"/>
  <pageSetup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8" r:id="rId4" name="Button 11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" name="Button 11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" name="Button 11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7" name="Button 11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" name="Button 11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9" name="Button 11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0" name="Button 11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" name="Button 1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" name="Button 1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0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3" name="Button 1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X21"/>
  <sheetViews>
    <sheetView defaultGridColor="0" topLeftCell="D1" colorId="22" zoomScale="75" workbookViewId="0">
      <selection activeCell="D12" sqref="D12:I12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79.77734375" style="94" customWidth="1"/>
    <col min="5" max="7" width="7.77734375" style="94" customWidth="1"/>
    <col min="8" max="8" width="13.77734375" style="94" customWidth="1"/>
    <col min="9" max="9" width="8.109375" style="94" customWidth="1"/>
    <col min="10" max="16384" width="9.77734375" style="94"/>
  </cols>
  <sheetData>
    <row r="1" spans="1:24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179" t="str">
        <f>'1...Describe'!I1</f>
        <v>Rocky Mountain Mine</v>
      </c>
    </row>
    <row r="2" spans="1:24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179" t="s">
        <v>184</v>
      </c>
    </row>
    <row r="3" spans="1:24" x14ac:dyDescent="0.2">
      <c r="A3" s="10"/>
      <c r="B3" s="10"/>
      <c r="C3" s="10"/>
      <c r="D3" s="5" t="s">
        <v>185</v>
      </c>
      <c r="E3" s="66"/>
      <c r="F3" s="66"/>
      <c r="G3" s="66"/>
      <c r="H3" s="96">
        <f ca="1">'1...Describe'!I3</f>
        <v>43949</v>
      </c>
    </row>
    <row r="4" spans="1:24" x14ac:dyDescent="0.2">
      <c r="A4" s="10"/>
      <c r="B4" s="10"/>
      <c r="C4" s="10"/>
      <c r="D4" s="66"/>
      <c r="E4" s="66"/>
      <c r="F4" s="66"/>
      <c r="G4" s="66"/>
      <c r="H4" s="162" t="str">
        <f>'1...Describe'!I4</f>
        <v>RT</v>
      </c>
    </row>
    <row r="5" spans="1:24" x14ac:dyDescent="0.2">
      <c r="A5" s="10"/>
      <c r="B5" s="10"/>
      <c r="C5" s="10"/>
      <c r="H5" s="94" t="s">
        <v>347</v>
      </c>
    </row>
    <row r="6" spans="1:24" x14ac:dyDescent="0.2">
      <c r="A6" s="10"/>
      <c r="B6" s="10"/>
      <c r="C6" s="10"/>
      <c r="G6" s="95" t="s">
        <v>35</v>
      </c>
      <c r="H6" s="95" t="s">
        <v>36</v>
      </c>
      <c r="I6" s="95" t="s">
        <v>342</v>
      </c>
    </row>
    <row r="7" spans="1:24" x14ac:dyDescent="0.2">
      <c r="A7" s="10"/>
      <c r="B7" s="10"/>
      <c r="C7" s="10"/>
      <c r="G7" s="95" t="s">
        <v>42</v>
      </c>
      <c r="H7" s="95" t="s">
        <v>42</v>
      </c>
      <c r="I7" s="95" t="s">
        <v>289</v>
      </c>
    </row>
    <row r="8" spans="1:24" x14ac:dyDescent="0.2">
      <c r="A8" s="10"/>
      <c r="B8" s="10"/>
      <c r="C8" s="10"/>
      <c r="D8" s="71" t="s">
        <v>186</v>
      </c>
      <c r="E8" s="71" t="s">
        <v>41</v>
      </c>
      <c r="F8" s="71" t="s">
        <v>35</v>
      </c>
      <c r="G8" s="228" t="s">
        <v>44</v>
      </c>
      <c r="H8" s="228" t="s">
        <v>45</v>
      </c>
    </row>
    <row r="9" spans="1:24" ht="45" x14ac:dyDescent="0.2">
      <c r="A9" s="10"/>
      <c r="B9" s="10"/>
      <c r="C9" s="10"/>
      <c r="D9" s="319" t="s">
        <v>384</v>
      </c>
      <c r="E9" s="144">
        <v>48</v>
      </c>
      <c r="F9" s="299" t="s">
        <v>380</v>
      </c>
      <c r="G9" s="221">
        <v>17.5</v>
      </c>
      <c r="H9" s="176">
        <f>E9*G9</f>
        <v>840</v>
      </c>
      <c r="I9" s="94">
        <f>G9*4</f>
        <v>70</v>
      </c>
      <c r="J9" s="158" t="s">
        <v>344</v>
      </c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4" ht="45" x14ac:dyDescent="0.2">
      <c r="A10" s="10"/>
      <c r="B10" s="10"/>
      <c r="C10" s="10"/>
      <c r="D10" s="320" t="s">
        <v>385</v>
      </c>
      <c r="E10" s="66">
        <v>128</v>
      </c>
      <c r="F10" s="297" t="s">
        <v>380</v>
      </c>
      <c r="G10" s="221">
        <v>17.5</v>
      </c>
      <c r="H10" s="176">
        <f>E10*G10</f>
        <v>2240</v>
      </c>
      <c r="I10" s="94">
        <v>280</v>
      </c>
      <c r="J10" s="158" t="s">
        <v>386</v>
      </c>
      <c r="K10" s="158"/>
      <c r="L10" s="158"/>
      <c r="M10" s="158"/>
      <c r="N10" s="158"/>
      <c r="O10" s="158"/>
      <c r="P10" s="158"/>
      <c r="Q10" s="158"/>
      <c r="R10" s="142"/>
      <c r="S10" s="142"/>
      <c r="T10" s="142"/>
      <c r="U10" s="142"/>
      <c r="V10" s="142"/>
      <c r="W10" s="142"/>
    </row>
    <row r="11" spans="1:24" ht="30" x14ac:dyDescent="0.2">
      <c r="A11" s="10"/>
      <c r="B11" s="10"/>
      <c r="C11" s="10"/>
      <c r="D11" s="295" t="s">
        <v>387</v>
      </c>
      <c r="E11" s="94">
        <v>6</v>
      </c>
      <c r="F11" s="94" t="s">
        <v>341</v>
      </c>
      <c r="G11" s="94">
        <v>30.5</v>
      </c>
      <c r="H11" s="176">
        <v>1464</v>
      </c>
      <c r="I11" s="94">
        <v>183</v>
      </c>
      <c r="U11" s="142"/>
      <c r="V11" s="142"/>
      <c r="W11" s="142"/>
    </row>
    <row r="12" spans="1:24" ht="30" x14ac:dyDescent="0.2">
      <c r="A12" s="10"/>
      <c r="B12" s="10"/>
      <c r="C12" s="10"/>
      <c r="D12" s="322" t="s">
        <v>393</v>
      </c>
      <c r="E12" s="323">
        <v>24</v>
      </c>
      <c r="F12" s="323" t="s">
        <v>381</v>
      </c>
      <c r="G12" s="324">
        <v>100</v>
      </c>
      <c r="H12" s="325">
        <v>14400</v>
      </c>
      <c r="I12" s="323">
        <v>2400</v>
      </c>
      <c r="J12" s="158" t="s">
        <v>379</v>
      </c>
      <c r="K12" s="158"/>
      <c r="L12" s="158"/>
      <c r="M12" s="158"/>
      <c r="N12" s="158"/>
      <c r="O12" s="158"/>
      <c r="P12" s="158"/>
      <c r="U12" s="142"/>
      <c r="V12" s="142"/>
      <c r="W12" s="142"/>
    </row>
    <row r="13" spans="1:24" x14ac:dyDescent="0.2">
      <c r="A13" s="10"/>
      <c r="B13" s="10"/>
      <c r="C13" s="10"/>
      <c r="D13" s="317" t="s">
        <v>382</v>
      </c>
      <c r="H13" s="176"/>
      <c r="J13" s="158" t="s">
        <v>317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8"/>
      <c r="U13" s="142"/>
      <c r="V13" s="142"/>
      <c r="W13" s="142"/>
    </row>
    <row r="14" spans="1:24" x14ac:dyDescent="0.2">
      <c r="A14" s="10"/>
      <c r="B14" s="10"/>
      <c r="C14" s="10"/>
      <c r="D14" s="94" t="s">
        <v>383</v>
      </c>
      <c r="E14" s="94">
        <v>1</v>
      </c>
      <c r="G14" s="300">
        <v>1000</v>
      </c>
      <c r="H14" s="259">
        <v>1000</v>
      </c>
      <c r="I14" s="300">
        <v>1000</v>
      </c>
      <c r="J14" s="158" t="s">
        <v>376</v>
      </c>
      <c r="K14" s="158"/>
      <c r="L14" s="158"/>
      <c r="M14" s="158"/>
      <c r="N14" s="272"/>
      <c r="O14" s="158"/>
      <c r="P14" s="158"/>
      <c r="Q14" s="158"/>
      <c r="R14" s="158"/>
      <c r="S14" s="158"/>
      <c r="T14" s="158"/>
      <c r="U14" s="158"/>
      <c r="V14" s="158"/>
    </row>
    <row r="15" spans="1:24" x14ac:dyDescent="0.2">
      <c r="A15" s="10"/>
      <c r="B15" s="10"/>
      <c r="C15" s="10"/>
    </row>
    <row r="16" spans="1:24" x14ac:dyDescent="0.2">
      <c r="A16" s="10"/>
      <c r="B16" s="10"/>
      <c r="C16" s="10"/>
      <c r="D16" s="67"/>
      <c r="E16" s="67"/>
      <c r="F16" s="67"/>
      <c r="G16" s="67"/>
      <c r="H16" s="67"/>
    </row>
    <row r="17" spans="1:8" ht="15.75" x14ac:dyDescent="0.25">
      <c r="A17" s="10"/>
      <c r="B17" s="10"/>
      <c r="C17" s="10"/>
      <c r="D17" s="164" t="s">
        <v>165</v>
      </c>
      <c r="E17" s="66"/>
      <c r="F17" s="66"/>
      <c r="G17" s="66"/>
      <c r="H17" s="28">
        <v>19944</v>
      </c>
    </row>
    <row r="18" spans="1:8" x14ac:dyDescent="0.2">
      <c r="A18" s="10"/>
      <c r="B18" s="10"/>
      <c r="C18" s="10"/>
    </row>
    <row r="19" spans="1:8" x14ac:dyDescent="0.2">
      <c r="A19" s="10"/>
      <c r="B19" s="10"/>
      <c r="C19" s="10"/>
    </row>
    <row r="20" spans="1:8" x14ac:dyDescent="0.2">
      <c r="A20" s="10"/>
      <c r="B20" s="10"/>
      <c r="C20" s="10"/>
    </row>
    <row r="21" spans="1:8" x14ac:dyDescent="0.2">
      <c r="A21" s="10"/>
      <c r="B21" s="10"/>
      <c r="C21" s="10"/>
    </row>
  </sheetData>
  <phoneticPr fontId="5" type="noConversion"/>
  <pageMargins left="1" right="1" top="1" bottom="1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32" r:id="rId4" name="Button 1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5" name="Button 12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6" name="Button 12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7" name="Button 12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8" name="Button 12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9" name="Button 12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0" name="Button 12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1" name="Button 12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2" name="Button 12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" name="Button 12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V53"/>
  <sheetViews>
    <sheetView defaultGridColor="0" topLeftCell="D5" colorId="22" zoomScale="75" workbookViewId="0">
      <selection activeCell="H15" sqref="H15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7.77734375" style="94" customWidth="1"/>
    <col min="5" max="5" width="46.77734375" style="94" customWidth="1"/>
    <col min="6" max="6" width="5.77734375" style="94" customWidth="1"/>
    <col min="7" max="7" width="13.77734375" style="94" customWidth="1"/>
    <col min="8" max="8" width="5.77734375" style="94" customWidth="1"/>
    <col min="9" max="9" width="21.21875" style="94" customWidth="1"/>
    <col min="10" max="10" width="14.88671875" style="94" customWidth="1"/>
    <col min="11" max="11" width="11.77734375" style="94" bestFit="1" customWidth="1"/>
    <col min="12" max="12" width="9.77734375" style="94"/>
    <col min="13" max="13" width="13" style="94" customWidth="1"/>
    <col min="14" max="17" width="9.77734375" style="94"/>
    <col min="18" max="22" width="9.77734375" style="142"/>
    <col min="23" max="16384" width="9.77734375" style="94"/>
  </cols>
  <sheetData>
    <row r="1" spans="1:22" ht="15" customHeight="1" x14ac:dyDescent="0.2">
      <c r="A1" s="235"/>
      <c r="B1" s="235"/>
      <c r="C1" s="235"/>
      <c r="D1" s="94" t="str">
        <f>General!D1</f>
        <v>BOND AMOUNT CALCULATION</v>
      </c>
      <c r="G1" s="95" t="str">
        <f>General!F1</f>
        <v>Rocky Mountain Mine</v>
      </c>
    </row>
    <row r="2" spans="1:22" ht="15" customHeight="1" x14ac:dyDescent="0.2">
      <c r="A2" s="235"/>
      <c r="B2" s="235"/>
      <c r="C2" s="235"/>
      <c r="D2" s="94" t="str">
        <f>General!D2</f>
        <v>New Mexico Mining and Minerals Division</v>
      </c>
      <c r="G2" s="95" t="s">
        <v>187</v>
      </c>
    </row>
    <row r="3" spans="1:22" ht="15" customHeight="1" x14ac:dyDescent="0.2">
      <c r="A3" s="235"/>
      <c r="B3" s="235"/>
      <c r="C3" s="235"/>
      <c r="D3" s="20" t="s">
        <v>188</v>
      </c>
      <c r="G3" s="96">
        <f ca="1">'1...Describe'!I3</f>
        <v>43949</v>
      </c>
    </row>
    <row r="4" spans="1:22" ht="15" customHeight="1" x14ac:dyDescent="0.2">
      <c r="A4" s="235"/>
      <c r="B4" s="235"/>
      <c r="C4" s="97"/>
      <c r="G4" s="159" t="s">
        <v>273</v>
      </c>
    </row>
    <row r="5" spans="1:22" ht="15" customHeight="1" x14ac:dyDescent="0.2">
      <c r="A5" s="235"/>
      <c r="B5" s="235"/>
      <c r="C5" s="97"/>
      <c r="G5" s="96"/>
    </row>
    <row r="6" spans="1:22" s="237" customFormat="1" ht="15" customHeight="1" x14ac:dyDescent="0.2">
      <c r="A6" s="236"/>
      <c r="B6" s="236"/>
      <c r="C6" s="236"/>
      <c r="R6" s="290"/>
      <c r="S6" s="290"/>
      <c r="T6" s="290"/>
      <c r="U6" s="290"/>
      <c r="V6" s="290"/>
    </row>
    <row r="7" spans="1:22" s="237" customFormat="1" ht="15" customHeight="1" x14ac:dyDescent="0.25">
      <c r="A7" s="236"/>
      <c r="B7" s="236"/>
      <c r="C7" s="236"/>
      <c r="D7" s="238" t="s">
        <v>189</v>
      </c>
      <c r="E7" s="239" t="s">
        <v>190</v>
      </c>
      <c r="F7" s="239"/>
      <c r="G7" s="240">
        <f>'2...Demo'!G10</f>
        <v>2273.8059999999996</v>
      </c>
      <c r="I7" s="241" t="s">
        <v>328</v>
      </c>
      <c r="J7" s="241"/>
      <c r="K7" s="241"/>
      <c r="R7" s="290"/>
      <c r="S7" s="290"/>
      <c r="T7" s="290"/>
      <c r="U7" s="290"/>
      <c r="V7" s="290"/>
    </row>
    <row r="8" spans="1:22" s="237" customFormat="1" ht="15" customHeight="1" x14ac:dyDescent="0.2">
      <c r="A8" s="236"/>
      <c r="B8" s="236"/>
      <c r="C8" s="236"/>
      <c r="D8" s="239"/>
      <c r="E8" s="333" t="s">
        <v>22</v>
      </c>
      <c r="F8" s="333"/>
      <c r="G8" s="334">
        <f>'13..EarthSum'!G5</f>
        <v>26140.809662873209</v>
      </c>
      <c r="I8" s="241" t="s">
        <v>331</v>
      </c>
      <c r="J8" s="241"/>
      <c r="K8" s="241"/>
      <c r="L8" s="241"/>
      <c r="M8" s="241"/>
      <c r="N8" s="241"/>
      <c r="O8" s="241"/>
      <c r="R8" s="290"/>
      <c r="S8" s="290"/>
      <c r="T8" s="290"/>
      <c r="U8" s="290"/>
      <c r="V8" s="290"/>
    </row>
    <row r="9" spans="1:22" s="237" customFormat="1" ht="15" customHeight="1" x14ac:dyDescent="0.2">
      <c r="A9" s="236"/>
      <c r="B9" s="236"/>
      <c r="C9" s="236"/>
      <c r="D9" s="239"/>
      <c r="E9" s="239" t="s">
        <v>191</v>
      </c>
      <c r="F9" s="243">
        <v>1.6</v>
      </c>
      <c r="G9" s="244">
        <f>'14...Reveg'!G10*F9</f>
        <v>24280.784</v>
      </c>
      <c r="R9" s="290"/>
      <c r="S9" s="290"/>
      <c r="T9" s="290"/>
      <c r="U9" s="290"/>
      <c r="V9" s="290"/>
    </row>
    <row r="10" spans="1:22" s="237" customFormat="1" ht="15" customHeight="1" x14ac:dyDescent="0.2">
      <c r="A10" s="236"/>
      <c r="B10" s="236"/>
      <c r="C10" s="236"/>
      <c r="D10" s="239"/>
      <c r="E10" s="239" t="s">
        <v>26</v>
      </c>
      <c r="F10" s="239"/>
      <c r="G10" s="242">
        <f>'15...Other'!H17</f>
        <v>19944</v>
      </c>
      <c r="I10" s="237" t="s">
        <v>258</v>
      </c>
      <c r="J10" s="245">
        <v>72639</v>
      </c>
      <c r="K10" s="237" t="s">
        <v>326</v>
      </c>
      <c r="L10" s="246">
        <f>J10*0.0213</f>
        <v>1547.2106999999999</v>
      </c>
      <c r="M10" s="245">
        <f>J10 +L10</f>
        <v>74186.210699999996</v>
      </c>
      <c r="R10" s="290"/>
      <c r="S10" s="290"/>
      <c r="T10" s="290"/>
      <c r="U10" s="290"/>
      <c r="V10" s="290"/>
    </row>
    <row r="11" spans="1:22" s="237" customFormat="1" ht="15" customHeight="1" x14ac:dyDescent="0.25">
      <c r="A11" s="236"/>
      <c r="B11" s="236"/>
      <c r="C11" s="236"/>
      <c r="D11" s="239"/>
      <c r="E11" s="247" t="s">
        <v>180</v>
      </c>
      <c r="F11" s="239"/>
      <c r="G11" s="248">
        <f>SUM(G7:G10)</f>
        <v>72639.399662873213</v>
      </c>
      <c r="I11" s="237" t="s">
        <v>259</v>
      </c>
      <c r="J11" s="245">
        <f>J10+L10</f>
        <v>74186.210699999996</v>
      </c>
      <c r="K11" s="246"/>
      <c r="L11" s="246">
        <f>J11*0.023</f>
        <v>1706.2828460999999</v>
      </c>
      <c r="M11" s="245">
        <f>J11 +L11</f>
        <v>75892.493546099999</v>
      </c>
      <c r="R11" s="290"/>
      <c r="S11" s="290"/>
      <c r="T11" s="290"/>
      <c r="U11" s="290"/>
      <c r="V11" s="290"/>
    </row>
    <row r="12" spans="1:22" s="237" customFormat="1" ht="15" customHeight="1" x14ac:dyDescent="0.2">
      <c r="A12" s="236"/>
      <c r="B12" s="236"/>
      <c r="C12" s="236"/>
      <c r="D12" s="239"/>
      <c r="E12" s="239" t="s">
        <v>192</v>
      </c>
      <c r="F12" s="249">
        <v>5</v>
      </c>
      <c r="G12" s="242"/>
      <c r="I12" s="237" t="s">
        <v>327</v>
      </c>
      <c r="J12" s="245">
        <f>J11+L11</f>
        <v>75892.493546099999</v>
      </c>
      <c r="K12" s="246"/>
      <c r="L12" s="246">
        <f t="shared" ref="L12:L14" si="0">J12*0.023</f>
        <v>1745.5273515602998</v>
      </c>
      <c r="M12" s="245">
        <f>J12 +L12</f>
        <v>77638.020897660303</v>
      </c>
      <c r="R12" s="290"/>
      <c r="S12" s="290"/>
      <c r="T12" s="290"/>
      <c r="U12" s="290"/>
      <c r="V12" s="290"/>
    </row>
    <row r="13" spans="1:22" s="237" customFormat="1" ht="15" customHeight="1" x14ac:dyDescent="0.2">
      <c r="A13" s="236"/>
      <c r="B13" s="236"/>
      <c r="C13" s="236"/>
      <c r="D13" s="239"/>
      <c r="E13" s="239" t="s">
        <v>329</v>
      </c>
      <c r="F13" s="250">
        <v>2.13</v>
      </c>
      <c r="G13" s="244">
        <v>8611.44</v>
      </c>
      <c r="I13" s="237" t="s">
        <v>260</v>
      </c>
      <c r="J13" s="245">
        <f>J12+L12</f>
        <v>77638.020897660303</v>
      </c>
      <c r="K13" s="246"/>
      <c r="L13" s="246">
        <f t="shared" si="0"/>
        <v>1785.674480646187</v>
      </c>
      <c r="M13" s="245">
        <f>J13 +L13</f>
        <v>79423.695378306496</v>
      </c>
      <c r="R13" s="290"/>
      <c r="S13" s="290"/>
      <c r="T13" s="290"/>
      <c r="U13" s="290"/>
      <c r="V13" s="290"/>
    </row>
    <row r="14" spans="1:22" s="237" customFormat="1" ht="15" customHeight="1" x14ac:dyDescent="0.25">
      <c r="A14" s="236"/>
      <c r="B14" s="236"/>
      <c r="C14" s="236"/>
      <c r="D14" s="239"/>
      <c r="E14" s="247" t="s">
        <v>193</v>
      </c>
      <c r="F14" s="239"/>
      <c r="G14" s="251">
        <f>SUM(G11:G13)</f>
        <v>81250.839662873215</v>
      </c>
      <c r="J14" s="245">
        <f>J13+L13</f>
        <v>79423.695378306496</v>
      </c>
      <c r="K14" s="246"/>
      <c r="L14" s="246">
        <f t="shared" si="0"/>
        <v>1826.7449937010495</v>
      </c>
      <c r="M14" s="245">
        <f>J14 +L14</f>
        <v>81250.44037200755</v>
      </c>
      <c r="R14" s="290"/>
      <c r="S14" s="290"/>
      <c r="T14" s="290"/>
      <c r="U14" s="290"/>
      <c r="V14" s="290"/>
    </row>
    <row r="15" spans="1:22" s="237" customFormat="1" ht="15" customHeight="1" x14ac:dyDescent="0.25">
      <c r="A15" s="236"/>
      <c r="B15" s="236"/>
      <c r="C15" s="236"/>
      <c r="D15" s="239"/>
      <c r="E15" s="239"/>
      <c r="F15" s="239"/>
      <c r="G15" s="239"/>
      <c r="J15" s="252"/>
      <c r="K15" s="246" t="s">
        <v>165</v>
      </c>
      <c r="L15" s="253">
        <f>SUM(L10:L14)</f>
        <v>8611.4403720075352</v>
      </c>
      <c r="R15" s="290"/>
      <c r="S15" s="290"/>
      <c r="T15" s="290"/>
      <c r="U15" s="290"/>
      <c r="V15" s="290"/>
    </row>
    <row r="16" spans="1:22" s="237" customFormat="1" ht="15" customHeight="1" x14ac:dyDescent="0.25">
      <c r="A16" s="236"/>
      <c r="B16" s="236"/>
      <c r="C16" s="236"/>
      <c r="D16" s="238" t="s">
        <v>291</v>
      </c>
      <c r="E16" s="239" t="s">
        <v>261</v>
      </c>
      <c r="F16" s="254">
        <v>0.2</v>
      </c>
      <c r="G16" s="242">
        <f>F16*$G$14</f>
        <v>16250.167932574645</v>
      </c>
      <c r="R16" s="290"/>
      <c r="S16" s="290"/>
      <c r="T16" s="290"/>
      <c r="U16" s="290"/>
      <c r="V16" s="290"/>
    </row>
    <row r="17" spans="1:22" s="237" customFormat="1" ht="15" customHeight="1" x14ac:dyDescent="0.2">
      <c r="A17" s="236"/>
      <c r="B17" s="236"/>
      <c r="C17" s="236"/>
      <c r="D17" s="239"/>
      <c r="E17" s="239" t="s">
        <v>262</v>
      </c>
      <c r="F17" s="254">
        <v>0.06</v>
      </c>
      <c r="G17" s="242">
        <f t="shared" ref="G17:G23" si="1">F17*$G$14</f>
        <v>4875.0503797723932</v>
      </c>
      <c r="I17" s="241" t="s">
        <v>390</v>
      </c>
      <c r="J17" s="241"/>
      <c r="K17" s="241"/>
      <c r="L17" s="241"/>
      <c r="M17" s="241"/>
      <c r="N17" s="241"/>
      <c r="O17" s="241"/>
      <c r="P17" s="241"/>
      <c r="Q17" s="241"/>
      <c r="R17" s="290"/>
      <c r="S17" s="290"/>
      <c r="T17" s="290"/>
      <c r="U17" s="290"/>
      <c r="V17" s="290"/>
    </row>
    <row r="18" spans="1:22" s="237" customFormat="1" ht="15" customHeight="1" x14ac:dyDescent="0.2">
      <c r="A18" s="236"/>
      <c r="B18" s="236"/>
      <c r="C18" s="236"/>
      <c r="D18" s="239"/>
      <c r="E18" s="239" t="s">
        <v>263</v>
      </c>
      <c r="F18" s="254">
        <v>0.04</v>
      </c>
      <c r="G18" s="242">
        <f t="shared" si="1"/>
        <v>3250.0335865149286</v>
      </c>
      <c r="R18" s="290"/>
      <c r="S18" s="290"/>
      <c r="T18" s="290"/>
      <c r="U18" s="290"/>
      <c r="V18" s="290"/>
    </row>
    <row r="19" spans="1:22" s="237" customFormat="1" ht="15" customHeight="1" x14ac:dyDescent="0.2">
      <c r="A19" s="236"/>
      <c r="B19" s="236"/>
      <c r="C19" s="236"/>
      <c r="D19" s="239"/>
      <c r="E19" s="239" t="s">
        <v>264</v>
      </c>
      <c r="F19" s="254">
        <v>0.1</v>
      </c>
      <c r="G19" s="242">
        <f t="shared" si="1"/>
        <v>8125.0839662873223</v>
      </c>
      <c r="I19" s="241" t="s">
        <v>391</v>
      </c>
      <c r="J19" s="241"/>
      <c r="K19" s="321"/>
      <c r="L19" s="241"/>
      <c r="M19" s="241"/>
      <c r="N19" s="241"/>
      <c r="O19" s="241"/>
      <c r="P19" s="241"/>
      <c r="Q19" s="241"/>
      <c r="R19" s="290"/>
      <c r="S19" s="290"/>
      <c r="T19" s="290"/>
      <c r="U19" s="290"/>
      <c r="V19" s="290"/>
    </row>
    <row r="20" spans="1:22" s="237" customFormat="1" ht="15" customHeight="1" x14ac:dyDescent="0.2">
      <c r="A20" s="236"/>
      <c r="B20" s="236"/>
      <c r="C20" s="236"/>
      <c r="D20" s="239"/>
      <c r="E20" s="239" t="s">
        <v>265</v>
      </c>
      <c r="F20" s="254">
        <v>0.04</v>
      </c>
      <c r="G20" s="242">
        <f t="shared" si="1"/>
        <v>3250.0335865149286</v>
      </c>
      <c r="M20" s="255"/>
      <c r="R20" s="290"/>
      <c r="S20" s="290"/>
      <c r="T20" s="290"/>
      <c r="U20" s="290"/>
      <c r="V20" s="290"/>
    </row>
    <row r="21" spans="1:22" s="237" customFormat="1" ht="15" customHeight="1" x14ac:dyDescent="0.2">
      <c r="A21" s="236"/>
      <c r="B21" s="236"/>
      <c r="C21" s="236"/>
      <c r="D21" s="239"/>
      <c r="E21" s="239" t="s">
        <v>266</v>
      </c>
      <c r="F21" s="254">
        <v>0.05</v>
      </c>
      <c r="G21" s="242">
        <f t="shared" si="1"/>
        <v>4062.5419831436611</v>
      </c>
      <c r="I21" s="241" t="s">
        <v>392</v>
      </c>
      <c r="J21" s="241"/>
      <c r="K21" s="241"/>
      <c r="L21" s="241"/>
      <c r="M21" s="241"/>
      <c r="N21" s="241"/>
      <c r="O21" s="241"/>
      <c r="P21" s="241"/>
      <c r="Q21" s="241"/>
      <c r="R21" s="290"/>
      <c r="S21" s="290"/>
      <c r="T21" s="290"/>
      <c r="U21" s="290"/>
      <c r="V21" s="290"/>
    </row>
    <row r="22" spans="1:22" s="237" customFormat="1" ht="15" customHeight="1" x14ac:dyDescent="0.2">
      <c r="A22" s="236"/>
      <c r="B22" s="236"/>
      <c r="C22" s="236"/>
      <c r="D22" s="239"/>
      <c r="E22" s="239" t="s">
        <v>267</v>
      </c>
      <c r="F22" s="254">
        <v>0.02</v>
      </c>
      <c r="G22" s="242">
        <f t="shared" si="1"/>
        <v>1625.0167932574643</v>
      </c>
      <c r="I22" s="94"/>
      <c r="J22" s="94"/>
      <c r="K22" s="94"/>
      <c r="L22" s="94"/>
      <c r="M22" s="94"/>
      <c r="N22" s="94"/>
      <c r="O22" s="94"/>
      <c r="P22" s="94"/>
      <c r="Q22" s="94"/>
      <c r="R22" s="142"/>
      <c r="S22" s="142"/>
      <c r="T22" s="142"/>
      <c r="U22" s="142"/>
      <c r="V22" s="142"/>
    </row>
    <row r="23" spans="1:22" s="237" customFormat="1" ht="15" customHeight="1" x14ac:dyDescent="0.2">
      <c r="A23" s="236"/>
      <c r="B23" s="236"/>
      <c r="C23" s="236"/>
      <c r="D23" s="239"/>
      <c r="E23" s="239" t="s">
        <v>268</v>
      </c>
      <c r="F23" s="254">
        <v>0.03</v>
      </c>
      <c r="G23" s="242">
        <f t="shared" si="1"/>
        <v>2437.5251898861966</v>
      </c>
      <c r="R23" s="290"/>
      <c r="S23" s="290"/>
      <c r="T23" s="290"/>
      <c r="U23" s="290"/>
      <c r="V23" s="290"/>
    </row>
    <row r="24" spans="1:22" s="237" customFormat="1" ht="15" customHeight="1" x14ac:dyDescent="0.2">
      <c r="A24" s="236"/>
      <c r="B24" s="236"/>
      <c r="C24" s="236"/>
      <c r="D24" s="239"/>
      <c r="E24" s="239" t="s">
        <v>269</v>
      </c>
      <c r="F24" s="256">
        <v>1.4999999999999999E-2</v>
      </c>
      <c r="G24" s="237">
        <v>360.28</v>
      </c>
      <c r="I24" s="277" t="s">
        <v>374</v>
      </c>
      <c r="J24" s="241"/>
      <c r="K24" s="278"/>
      <c r="L24" s="279"/>
      <c r="M24" s="241"/>
      <c r="N24" s="298">
        <v>3714</v>
      </c>
      <c r="O24" s="241"/>
      <c r="P24" s="241" t="s">
        <v>373</v>
      </c>
      <c r="Q24" s="241"/>
      <c r="R24" s="290"/>
      <c r="S24" s="290"/>
      <c r="T24" s="290"/>
      <c r="U24" s="290"/>
      <c r="V24" s="290"/>
    </row>
    <row r="25" spans="1:22" s="237" customFormat="1" ht="15" customHeight="1" x14ac:dyDescent="0.2">
      <c r="A25" s="236"/>
      <c r="B25" s="236"/>
      <c r="C25" s="236"/>
      <c r="D25" s="239"/>
      <c r="E25" s="239"/>
      <c r="F25" s="239"/>
      <c r="G25" s="239"/>
      <c r="I25" s="277" t="s">
        <v>375</v>
      </c>
      <c r="J25" s="241"/>
      <c r="K25" s="278"/>
      <c r="L25" s="279"/>
      <c r="M25" s="241"/>
      <c r="N25" s="298">
        <v>1824.5</v>
      </c>
      <c r="O25" s="241"/>
      <c r="P25" s="241" t="s">
        <v>369</v>
      </c>
      <c r="Q25" s="241"/>
      <c r="R25" s="290"/>
      <c r="S25" s="290"/>
      <c r="T25" s="290"/>
      <c r="U25" s="290"/>
      <c r="V25" s="290"/>
    </row>
    <row r="26" spans="1:22" s="237" customFormat="1" ht="15" customHeight="1" x14ac:dyDescent="0.2">
      <c r="A26" s="236"/>
      <c r="B26" s="236"/>
      <c r="C26" s="236"/>
      <c r="D26" s="239"/>
      <c r="E26" s="239"/>
      <c r="F26" s="239"/>
      <c r="G26" s="239"/>
      <c r="I26" s="241" t="s">
        <v>389</v>
      </c>
      <c r="J26" s="279"/>
      <c r="K26" s="279"/>
      <c r="L26" s="279"/>
      <c r="M26" s="241"/>
      <c r="N26" s="296">
        <v>840</v>
      </c>
      <c r="O26" s="241"/>
      <c r="P26" s="241" t="s">
        <v>345</v>
      </c>
      <c r="Q26" s="241"/>
      <c r="R26" s="290"/>
      <c r="S26" s="290"/>
      <c r="T26" s="290"/>
      <c r="U26" s="290"/>
      <c r="V26" s="290"/>
    </row>
    <row r="27" spans="1:22" s="237" customFormat="1" ht="15" customHeight="1" x14ac:dyDescent="0.2">
      <c r="A27" s="236"/>
      <c r="B27" s="236"/>
      <c r="C27" s="236"/>
      <c r="D27" s="239"/>
      <c r="E27" s="239"/>
      <c r="F27" s="239"/>
      <c r="G27" s="239"/>
      <c r="I27" s="241" t="s">
        <v>388</v>
      </c>
      <c r="J27" s="241"/>
      <c r="K27" s="241"/>
      <c r="L27" s="241"/>
      <c r="M27" s="241"/>
      <c r="N27" s="296">
        <v>2240</v>
      </c>
      <c r="O27" s="241"/>
      <c r="P27" s="241" t="s">
        <v>345</v>
      </c>
      <c r="Q27" s="241"/>
      <c r="R27" s="290"/>
      <c r="S27" s="290"/>
      <c r="T27" s="290"/>
      <c r="U27" s="290"/>
      <c r="V27" s="290"/>
    </row>
    <row r="28" spans="1:22" s="237" customFormat="1" ht="15" customHeight="1" x14ac:dyDescent="0.25">
      <c r="A28" s="236"/>
      <c r="B28" s="236"/>
      <c r="C28" s="236"/>
      <c r="D28" s="238" t="s">
        <v>194</v>
      </c>
      <c r="E28" s="239"/>
      <c r="F28" s="257"/>
      <c r="G28" s="251">
        <f>SUM(G14:G24)</f>
        <v>125486.57308082473</v>
      </c>
      <c r="I28" s="326" t="s">
        <v>346</v>
      </c>
      <c r="J28" s="326"/>
      <c r="K28" s="326"/>
      <c r="L28" s="326"/>
      <c r="M28" s="326"/>
      <c r="N28" s="327">
        <v>14400</v>
      </c>
      <c r="O28" s="326"/>
      <c r="P28" s="326" t="s">
        <v>345</v>
      </c>
      <c r="Q28" s="326"/>
      <c r="R28" s="290"/>
      <c r="S28" s="290"/>
      <c r="T28" s="290"/>
      <c r="U28" s="290"/>
      <c r="V28" s="290"/>
    </row>
    <row r="29" spans="1:22" s="237" customFormat="1" ht="15" customHeight="1" x14ac:dyDescent="0.2">
      <c r="E29" s="258"/>
      <c r="I29" s="326" t="s">
        <v>394</v>
      </c>
      <c r="J29" s="326"/>
      <c r="K29" s="326"/>
      <c r="L29" s="326"/>
      <c r="M29" s="326"/>
      <c r="N29" s="327"/>
      <c r="O29" s="326"/>
      <c r="P29" s="326"/>
      <c r="Q29" s="326"/>
      <c r="R29" s="290"/>
      <c r="S29" s="290"/>
      <c r="T29" s="290"/>
      <c r="U29" s="290"/>
      <c r="V29" s="290"/>
    </row>
    <row r="30" spans="1:22" ht="15" customHeight="1" x14ac:dyDescent="0.2">
      <c r="I30" s="318" t="s">
        <v>382</v>
      </c>
      <c r="J30" s="241"/>
      <c r="K30" s="241"/>
      <c r="L30" s="241"/>
      <c r="M30" s="241"/>
      <c r="N30" s="296">
        <v>1000</v>
      </c>
      <c r="O30" s="241"/>
      <c r="P30" s="241" t="s">
        <v>345</v>
      </c>
      <c r="Q30" s="237"/>
      <c r="R30" s="290"/>
      <c r="S30" s="290"/>
    </row>
    <row r="31" spans="1:22" ht="15" customHeight="1" x14ac:dyDescent="0.2">
      <c r="I31" s="241" t="s">
        <v>372</v>
      </c>
      <c r="J31" s="158"/>
      <c r="K31" s="158"/>
      <c r="L31" s="158"/>
      <c r="M31" s="158"/>
      <c r="N31" s="267">
        <f>SUM(N24:N30)</f>
        <v>24018.5</v>
      </c>
      <c r="O31" s="237"/>
      <c r="P31" s="237" t="s">
        <v>165</v>
      </c>
      <c r="Q31" s="237"/>
      <c r="R31" s="290"/>
      <c r="S31" s="290"/>
    </row>
    <row r="32" spans="1:22" ht="15" customHeight="1" x14ac:dyDescent="0.2">
      <c r="I32" s="237"/>
      <c r="L32" s="94" t="s">
        <v>348</v>
      </c>
      <c r="N32" s="246">
        <f xml:space="preserve"> N31 *0.015</f>
        <v>360.27749999999997</v>
      </c>
      <c r="O32" s="237"/>
      <c r="P32" s="237" t="s">
        <v>270</v>
      </c>
      <c r="Q32" s="237"/>
      <c r="R32" s="290"/>
    </row>
    <row r="33" spans="4:16" ht="15" customHeight="1" x14ac:dyDescent="0.2">
      <c r="N33" s="237"/>
      <c r="O33" s="237"/>
      <c r="P33" s="237"/>
    </row>
    <row r="34" spans="4:16" ht="18" x14ac:dyDescent="0.2">
      <c r="D34" s="142" t="s">
        <v>371</v>
      </c>
      <c r="K34" s="94" t="s">
        <v>222</v>
      </c>
      <c r="N34" s="237"/>
      <c r="O34" s="237"/>
      <c r="P34" s="237"/>
    </row>
    <row r="35" spans="4:16" x14ac:dyDescent="0.2">
      <c r="D35" s="94" t="s">
        <v>370</v>
      </c>
    </row>
    <row r="53" ht="15" customHeight="1" x14ac:dyDescent="0.2"/>
  </sheetData>
  <phoneticPr fontId="5" type="noConversion"/>
  <pageMargins left="1" right="1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66" r:id="rId4" name="Button 13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5" name="Button 13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6" name="Button 13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7" name="Button 13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8" name="Button 13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9" name="Button 13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0" name="Button 13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1" name="Button 13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2" name="Button 13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3" name="Button 13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4" name="Button 14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/>
  <dimension ref="A3"/>
  <sheetViews>
    <sheetView defaultGridColor="0" colorId="22" zoomScale="75" workbookViewId="0">
      <selection activeCell="A3" sqref="A3"/>
    </sheetView>
  </sheetViews>
  <sheetFormatPr defaultColWidth="9.77734375" defaultRowHeight="15" x14ac:dyDescent="0.2"/>
  <sheetData>
    <row r="3" spans="1:1" x14ac:dyDescent="0.2">
      <c r="A3" t="s">
        <v>195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/>
  <dimension ref="A3"/>
  <sheetViews>
    <sheetView defaultGridColor="0" colorId="22" zoomScale="75" workbookViewId="0">
      <selection activeCell="E24" sqref="E24"/>
    </sheetView>
  </sheetViews>
  <sheetFormatPr defaultColWidth="9.77734375" defaultRowHeight="15" x14ac:dyDescent="0.2"/>
  <sheetData>
    <row r="3" spans="1:1" x14ac:dyDescent="0.2">
      <c r="A3" t="s">
        <v>196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/>
  <dimension ref="A3:C9"/>
  <sheetViews>
    <sheetView defaultGridColor="0" colorId="22" zoomScale="75" workbookViewId="0">
      <selection activeCell="C9" sqref="C9"/>
    </sheetView>
  </sheetViews>
  <sheetFormatPr defaultColWidth="9.77734375" defaultRowHeight="15" x14ac:dyDescent="0.2"/>
  <sheetData>
    <row r="3" spans="1:3" x14ac:dyDescent="0.2">
      <c r="A3" t="s">
        <v>197</v>
      </c>
    </row>
    <row r="8" spans="1:3" x14ac:dyDescent="0.2">
      <c r="A8" s="98">
        <v>35431</v>
      </c>
      <c r="B8">
        <v>5751.41</v>
      </c>
      <c r="C8">
        <v>4.1000000000000002E-2</v>
      </c>
    </row>
    <row r="9" spans="1:3" x14ac:dyDescent="0.2">
      <c r="A9" s="98">
        <v>35462</v>
      </c>
      <c r="B9">
        <v>5755.71</v>
      </c>
      <c r="C9">
        <v>4.1000000000000002E-2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/>
  <dimension ref="A3"/>
  <sheetViews>
    <sheetView defaultGridColor="0" colorId="22" zoomScale="75" workbookViewId="0">
      <selection activeCell="A3" sqref="A3"/>
    </sheetView>
  </sheetViews>
  <sheetFormatPr defaultColWidth="9.77734375" defaultRowHeight="15" x14ac:dyDescent="0.2"/>
  <sheetData>
    <row r="3" spans="1:1" x14ac:dyDescent="0.2">
      <c r="A3" t="s">
        <v>198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3"/>
  <sheetViews>
    <sheetView workbookViewId="0">
      <selection sqref="A1:C1"/>
    </sheetView>
  </sheetViews>
  <sheetFormatPr defaultColWidth="8.88671875" defaultRowHeight="12.75" x14ac:dyDescent="0.2"/>
  <cols>
    <col min="1" max="2" width="8.88671875" style="282"/>
    <col min="3" max="3" width="19.88671875" style="282" customWidth="1"/>
    <col min="4" max="16384" width="8.88671875" style="282"/>
  </cols>
  <sheetData>
    <row r="1" spans="1:3" x14ac:dyDescent="0.2">
      <c r="A1" s="342" t="s">
        <v>277</v>
      </c>
      <c r="B1" s="340"/>
      <c r="C1" s="340"/>
    </row>
    <row r="2" spans="1:3" x14ac:dyDescent="0.2">
      <c r="A2" s="342" t="s">
        <v>278</v>
      </c>
      <c r="B2" s="340"/>
      <c r="C2" s="340"/>
    </row>
    <row r="3" spans="1:3" x14ac:dyDescent="0.2">
      <c r="A3" s="340"/>
      <c r="B3" s="340"/>
      <c r="C3" s="340"/>
    </row>
    <row r="4" spans="1:3" x14ac:dyDescent="0.2">
      <c r="A4" s="280" t="s">
        <v>279</v>
      </c>
      <c r="B4" s="339" t="s">
        <v>280</v>
      </c>
      <c r="C4" s="340"/>
    </row>
    <row r="5" spans="1:3" x14ac:dyDescent="0.2">
      <c r="A5" s="343" t="s">
        <v>281</v>
      </c>
      <c r="B5" s="340"/>
      <c r="C5" s="340"/>
    </row>
    <row r="6" spans="1:3" x14ac:dyDescent="0.2">
      <c r="A6" s="280" t="s">
        <v>282</v>
      </c>
      <c r="B6" s="339" t="s">
        <v>283</v>
      </c>
      <c r="C6" s="340"/>
    </row>
    <row r="7" spans="1:3" x14ac:dyDescent="0.2">
      <c r="A7" s="280" t="s">
        <v>284</v>
      </c>
      <c r="B7" s="339" t="s">
        <v>285</v>
      </c>
      <c r="C7" s="340"/>
    </row>
    <row r="8" spans="1:3" ht="25.5" x14ac:dyDescent="0.2">
      <c r="A8" s="280" t="s">
        <v>286</v>
      </c>
      <c r="B8" s="339" t="s">
        <v>287</v>
      </c>
      <c r="C8" s="340"/>
    </row>
    <row r="9" spans="1:3" x14ac:dyDescent="0.2">
      <c r="A9" s="280" t="s">
        <v>288</v>
      </c>
      <c r="B9" s="341" t="s">
        <v>325</v>
      </c>
      <c r="C9" s="340"/>
    </row>
    <row r="11" spans="1:3" ht="13.5" thickBot="1" x14ac:dyDescent="0.25">
      <c r="A11" s="165" t="s">
        <v>289</v>
      </c>
      <c r="B11" s="165" t="s">
        <v>290</v>
      </c>
    </row>
    <row r="12" spans="1:3" ht="14.25" thickTop="1" thickBot="1" x14ac:dyDescent="0.25">
      <c r="A12" s="166">
        <v>1997</v>
      </c>
      <c r="B12" s="283">
        <v>2.2999999999999998</v>
      </c>
    </row>
    <row r="13" spans="1:3" ht="13.5" thickBot="1" x14ac:dyDescent="0.25">
      <c r="A13" s="166">
        <v>1998</v>
      </c>
      <c r="B13" s="284">
        <v>1.6</v>
      </c>
    </row>
    <row r="14" spans="1:3" ht="13.5" thickBot="1" x14ac:dyDescent="0.25">
      <c r="A14" s="166">
        <v>1999</v>
      </c>
      <c r="B14" s="285">
        <v>2.2000000000000002</v>
      </c>
    </row>
    <row r="15" spans="1:3" ht="13.5" thickBot="1" x14ac:dyDescent="0.25">
      <c r="A15" s="166">
        <v>2000</v>
      </c>
      <c r="B15" s="284">
        <v>3.4</v>
      </c>
    </row>
    <row r="16" spans="1:3" ht="13.5" thickBot="1" x14ac:dyDescent="0.25">
      <c r="A16" s="166">
        <v>2001</v>
      </c>
      <c r="B16" s="285">
        <v>2.8</v>
      </c>
    </row>
    <row r="17" spans="1:2" ht="13.5" thickBot="1" x14ac:dyDescent="0.25">
      <c r="A17" s="166">
        <v>2002</v>
      </c>
      <c r="B17" s="286">
        <v>1.6</v>
      </c>
    </row>
    <row r="18" spans="1:2" ht="13.5" thickBot="1" x14ac:dyDescent="0.25">
      <c r="A18" s="166">
        <v>2003</v>
      </c>
      <c r="B18" s="287">
        <v>2.2999999999999998</v>
      </c>
    </row>
    <row r="19" spans="1:2" ht="13.5" thickBot="1" x14ac:dyDescent="0.25">
      <c r="A19" s="166">
        <v>2004</v>
      </c>
      <c r="B19" s="284">
        <v>2.7</v>
      </c>
    </row>
    <row r="20" spans="1:2" ht="13.5" thickBot="1" x14ac:dyDescent="0.25">
      <c r="A20" s="166">
        <v>2005</v>
      </c>
      <c r="B20" s="285">
        <v>3.4</v>
      </c>
    </row>
    <row r="21" spans="1:2" ht="13.5" thickBot="1" x14ac:dyDescent="0.25">
      <c r="A21" s="166">
        <v>2006</v>
      </c>
      <c r="B21" s="284">
        <v>3.2</v>
      </c>
    </row>
    <row r="22" spans="1:2" ht="13.5" thickBot="1" x14ac:dyDescent="0.25">
      <c r="A22" s="166">
        <v>2007</v>
      </c>
      <c r="B22" s="285">
        <v>2.8</v>
      </c>
    </row>
    <row r="23" spans="1:2" ht="13.5" thickBot="1" x14ac:dyDescent="0.25">
      <c r="A23" s="166">
        <v>2008</v>
      </c>
      <c r="B23" s="284">
        <v>3.8</v>
      </c>
    </row>
    <row r="24" spans="1:2" ht="13.5" thickBot="1" x14ac:dyDescent="0.25">
      <c r="A24" s="166">
        <v>2009</v>
      </c>
      <c r="B24" s="285">
        <v>-0.4</v>
      </c>
    </row>
    <row r="25" spans="1:2" ht="13.5" thickBot="1" x14ac:dyDescent="0.25">
      <c r="A25" s="166">
        <v>2010</v>
      </c>
      <c r="B25" s="284">
        <v>1.6</v>
      </c>
    </row>
    <row r="26" spans="1:2" ht="13.5" thickBot="1" x14ac:dyDescent="0.25">
      <c r="A26" s="166">
        <v>2011</v>
      </c>
      <c r="B26" s="285">
        <v>3.2</v>
      </c>
    </row>
    <row r="27" spans="1:2" ht="13.5" thickBot="1" x14ac:dyDescent="0.25">
      <c r="A27" s="166">
        <v>2012</v>
      </c>
      <c r="B27" s="284">
        <v>2.1</v>
      </c>
    </row>
    <row r="28" spans="1:2" ht="13.5" thickBot="1" x14ac:dyDescent="0.25">
      <c r="A28" s="166">
        <v>2013</v>
      </c>
      <c r="B28" s="285">
        <v>1.5</v>
      </c>
    </row>
    <row r="29" spans="1:2" ht="13.5" thickBot="1" x14ac:dyDescent="0.25">
      <c r="A29" s="166">
        <v>2014</v>
      </c>
      <c r="B29" s="284">
        <v>1.6</v>
      </c>
    </row>
    <row r="30" spans="1:2" ht="13.5" thickBot="1" x14ac:dyDescent="0.25">
      <c r="A30" s="166">
        <v>2015</v>
      </c>
      <c r="B30" s="285">
        <v>0.7</v>
      </c>
    </row>
    <row r="31" spans="1:2" ht="13.5" thickBot="1" x14ac:dyDescent="0.25">
      <c r="A31" s="166">
        <v>2016</v>
      </c>
      <c r="B31" s="288">
        <v>0.2</v>
      </c>
    </row>
    <row r="32" spans="1:2" ht="13.5" thickBot="1" x14ac:dyDescent="0.25">
      <c r="A32" s="166">
        <v>2017</v>
      </c>
      <c r="B32" s="289">
        <v>2.1</v>
      </c>
    </row>
    <row r="33" spans="1:3" x14ac:dyDescent="0.2">
      <c r="A33" s="166"/>
      <c r="B33" s="282">
        <f>AVERAGE(B12:B32)</f>
        <v>2.128571428571429</v>
      </c>
      <c r="C33" s="282" t="s">
        <v>330</v>
      </c>
    </row>
  </sheetData>
  <mergeCells count="9">
    <mergeCell ref="B7:C7"/>
    <mergeCell ref="B8:C8"/>
    <mergeCell ref="B9:C9"/>
    <mergeCell ref="A1:C1"/>
    <mergeCell ref="A2:C2"/>
    <mergeCell ref="A3:C3"/>
    <mergeCell ref="B4:C4"/>
    <mergeCell ref="A5:C5"/>
    <mergeCell ref="B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U33"/>
  <sheetViews>
    <sheetView topLeftCell="J1" workbookViewId="0">
      <selection activeCell="U4" sqref="U4"/>
    </sheetView>
  </sheetViews>
  <sheetFormatPr defaultRowHeight="15" x14ac:dyDescent="0.2"/>
  <sheetData>
    <row r="33" spans="21:21" ht="15.75" x14ac:dyDescent="0.25">
      <c r="U33" s="27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/>
  <dimension ref="A1:E21"/>
  <sheetViews>
    <sheetView defaultGridColor="0" colorId="22" zoomScale="75" workbookViewId="0">
      <pane ySplit="7" topLeftCell="A8" activePane="bottomLeft" state="frozenSplit"/>
      <selection pane="bottomLeft"/>
    </sheetView>
  </sheetViews>
  <sheetFormatPr defaultColWidth="9.77734375" defaultRowHeight="15" x14ac:dyDescent="0.2"/>
  <cols>
    <col min="1" max="1" width="1.77734375" customWidth="1"/>
    <col min="2" max="2" width="11.77734375" customWidth="1"/>
    <col min="3" max="3" width="1.77734375" customWidth="1"/>
    <col min="4" max="4" width="22.77734375" customWidth="1"/>
  </cols>
  <sheetData>
    <row r="1" spans="1:5" x14ac:dyDescent="0.2">
      <c r="A1" s="2"/>
      <c r="B1" s="2"/>
      <c r="C1" s="2"/>
    </row>
    <row r="2" spans="1:5" x14ac:dyDescent="0.2">
      <c r="A2" s="2"/>
      <c r="B2" s="2"/>
      <c r="C2" s="2"/>
    </row>
    <row r="3" spans="1:5" x14ac:dyDescent="0.2">
      <c r="A3" s="2"/>
      <c r="B3" s="2"/>
      <c r="C3" s="2"/>
    </row>
    <row r="4" spans="1:5" x14ac:dyDescent="0.2">
      <c r="A4" s="2"/>
      <c r="B4" s="2"/>
      <c r="C4" s="2"/>
      <c r="E4" t="s">
        <v>199</v>
      </c>
    </row>
    <row r="5" spans="1:5" x14ac:dyDescent="0.2">
      <c r="A5" s="2"/>
      <c r="B5" s="2"/>
      <c r="C5" s="2"/>
      <c r="E5" t="s">
        <v>200</v>
      </c>
    </row>
    <row r="6" spans="1:5" x14ac:dyDescent="0.2">
      <c r="A6" s="2"/>
      <c r="B6" s="2"/>
      <c r="C6" s="2"/>
      <c r="E6" t="s">
        <v>201</v>
      </c>
    </row>
    <row r="7" spans="1:5" x14ac:dyDescent="0.2">
      <c r="A7" s="2"/>
      <c r="B7" s="2"/>
      <c r="C7" s="10"/>
      <c r="D7" t="s">
        <v>61</v>
      </c>
      <c r="E7" t="s">
        <v>202</v>
      </c>
    </row>
    <row r="8" spans="1:5" ht="15.75" x14ac:dyDescent="0.25">
      <c r="A8" s="2"/>
      <c r="B8" s="2"/>
      <c r="C8" s="12"/>
    </row>
    <row r="9" spans="1:5" x14ac:dyDescent="0.2">
      <c r="A9" s="2"/>
      <c r="B9" s="2"/>
      <c r="C9" s="10"/>
      <c r="D9" t="s">
        <v>203</v>
      </c>
      <c r="E9" t="s">
        <v>204</v>
      </c>
    </row>
    <row r="10" spans="1:5" x14ac:dyDescent="0.2">
      <c r="A10" s="2"/>
      <c r="B10" s="2"/>
      <c r="C10" s="10"/>
      <c r="D10" t="s">
        <v>155</v>
      </c>
      <c r="E10" t="s">
        <v>205</v>
      </c>
    </row>
    <row r="11" spans="1:5" x14ac:dyDescent="0.2">
      <c r="A11" s="2"/>
      <c r="B11" s="2"/>
      <c r="C11" s="10"/>
      <c r="D11" t="s">
        <v>156</v>
      </c>
      <c r="E11" t="s">
        <v>206</v>
      </c>
    </row>
    <row r="12" spans="1:5" x14ac:dyDescent="0.2">
      <c r="A12" s="2"/>
      <c r="B12" s="2"/>
      <c r="C12" s="10"/>
      <c r="D12" t="s">
        <v>207</v>
      </c>
      <c r="E12" t="s">
        <v>205</v>
      </c>
    </row>
    <row r="13" spans="1:5" x14ac:dyDescent="0.2">
      <c r="A13" s="2"/>
      <c r="B13" s="2"/>
      <c r="C13" s="10"/>
      <c r="D13" t="s">
        <v>159</v>
      </c>
      <c r="E13" t="s">
        <v>206</v>
      </c>
    </row>
    <row r="14" spans="1:5" x14ac:dyDescent="0.2">
      <c r="A14" s="2"/>
      <c r="B14" s="2"/>
      <c r="C14" s="10"/>
    </row>
    <row r="15" spans="1:5" x14ac:dyDescent="0.2">
      <c r="A15" s="2"/>
      <c r="B15" s="2"/>
      <c r="C15" s="10"/>
    </row>
    <row r="16" spans="1:5" x14ac:dyDescent="0.2">
      <c r="A16" s="2"/>
      <c r="B16" s="2"/>
      <c r="C16" s="10"/>
      <c r="D16" t="s">
        <v>208</v>
      </c>
      <c r="E16" t="s">
        <v>209</v>
      </c>
    </row>
    <row r="17" spans="1:5" x14ac:dyDescent="0.2">
      <c r="A17" s="2"/>
      <c r="B17" s="2"/>
      <c r="C17" s="10"/>
      <c r="D17" t="s">
        <v>156</v>
      </c>
      <c r="E17" t="s">
        <v>210</v>
      </c>
    </row>
    <row r="18" spans="1:5" x14ac:dyDescent="0.2">
      <c r="A18" s="2"/>
      <c r="B18" s="2"/>
      <c r="C18" s="10"/>
      <c r="D18" t="s">
        <v>159</v>
      </c>
      <c r="E18" t="s">
        <v>210</v>
      </c>
    </row>
    <row r="19" spans="1:5" x14ac:dyDescent="0.2">
      <c r="A19" s="2"/>
      <c r="B19" s="2"/>
      <c r="C19" s="10"/>
      <c r="D19" t="s">
        <v>145</v>
      </c>
      <c r="E19" t="s">
        <v>211</v>
      </c>
    </row>
    <row r="20" spans="1:5" x14ac:dyDescent="0.2">
      <c r="A20" s="2"/>
      <c r="B20" s="2"/>
      <c r="C20" s="10"/>
      <c r="D20" t="s">
        <v>212</v>
      </c>
      <c r="E20" t="s">
        <v>213</v>
      </c>
    </row>
    <row r="21" spans="1:5" x14ac:dyDescent="0.2">
      <c r="A21" s="2"/>
      <c r="B21" s="2"/>
      <c r="C21" s="2"/>
    </row>
  </sheetData>
  <phoneticPr fontId="5" type="noConversion"/>
  <pageMargins left="1" right="1" top="1" bottom="1" header="0.5" footer="0.5"/>
  <pageSetup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01" r:id="rId4" name="Button 141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5" name="Button 142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6" name="Button 143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7" name="Button 144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8" name="Button 14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9" name="Button 14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10" name="Button 14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11" name="Button 148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12" name="Button 149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13" name="Button 150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General</vt:lpstr>
      <vt:lpstr>1...Describe</vt:lpstr>
      <vt:lpstr>2...Demo</vt:lpstr>
      <vt:lpstr>3...Material</vt:lpstr>
      <vt:lpstr>4...Earthwrk</vt:lpstr>
      <vt:lpstr>5...Dozer</vt:lpstr>
      <vt:lpstr>6...Grading</vt:lpstr>
      <vt:lpstr>7...Ripper</vt:lpstr>
      <vt:lpstr>8...Loader</vt:lpstr>
      <vt:lpstr>9...Trucks</vt:lpstr>
      <vt:lpstr>10...Backhoe</vt:lpstr>
      <vt:lpstr>11...Scraper</vt:lpstr>
      <vt:lpstr>12...M'grader</vt:lpstr>
      <vt:lpstr>13..EarthSum</vt:lpstr>
      <vt:lpstr>14...Reveg</vt:lpstr>
      <vt:lpstr>15...Other</vt:lpstr>
      <vt:lpstr>16..BondSum</vt:lpstr>
      <vt:lpstr>16a..Phased Sum</vt:lpstr>
      <vt:lpstr>17...Release</vt:lpstr>
      <vt:lpstr>A...ENR Index</vt:lpstr>
      <vt:lpstr>B...Equip Cost</vt:lpstr>
      <vt:lpstr>17. 20 yr CPI BLS</vt:lpstr>
      <vt:lpstr>18. NM Dept WkFc solutions</vt:lpstr>
      <vt:lpstr>HELP</vt:lpstr>
      <vt:lpstr>'16..BondSum'!Print_Area</vt:lpstr>
    </vt:vector>
  </TitlesOfParts>
  <Company>State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Brian</dc:creator>
  <cp:lastModifiedBy>Administrator</cp:lastModifiedBy>
  <cp:lastPrinted>2011-11-08T16:59:35Z</cp:lastPrinted>
  <dcterms:created xsi:type="dcterms:W3CDTF">1999-12-21T21:25:38Z</dcterms:created>
  <dcterms:modified xsi:type="dcterms:W3CDTF">2020-04-28T17:48:51Z</dcterms:modified>
</cp:coreProperties>
</file>