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C:\My Documents\WEB POSTS\"/>
    </mc:Choice>
  </mc:AlternateContent>
  <xr:revisionPtr revIDLastSave="0" documentId="13_ncr:1_{E1F88855-F3D1-4E39-B28C-D889366D0359}" xr6:coauthVersionLast="36" xr6:coauthVersionMax="36" xr10:uidLastSave="{00000000-0000-0000-0000-000000000000}"/>
  <bookViews>
    <workbookView xWindow="0" yWindow="0" windowWidth="24000" windowHeight="8925" tabRatio="929" xr2:uid="{00000000-000D-0000-FFFF-FFFF00000000}"/>
  </bookViews>
  <sheets>
    <sheet name="General" sheetId="1" r:id="rId1"/>
    <sheet name="1...Describe" sheetId="2" r:id="rId2"/>
    <sheet name="1a...Approach 2001" sheetId="3" r:id="rId3"/>
    <sheet name="1b...Approach 2005" sheetId="4" r:id="rId4"/>
    <sheet name="1c...Approach 2007" sheetId="5" r:id="rId5"/>
    <sheet name="1d...Approach 2010" sheetId="6" r:id="rId6"/>
    <sheet name="1e...Approach 2011 Semi-Update" sheetId="7" r:id="rId7"/>
    <sheet name="1f...Approach 2018" sheetId="33" r:id="rId8"/>
    <sheet name="2...Demo" sheetId="9" r:id="rId9"/>
    <sheet name="3...Material" sheetId="11" r:id="rId10"/>
    <sheet name="4...Earthwrk" sheetId="12" r:id="rId11"/>
    <sheet name="5...Dozer" sheetId="13" r:id="rId12"/>
    <sheet name="6...Grading" sheetId="14" r:id="rId13"/>
    <sheet name="7...Ripper" sheetId="15" r:id="rId14"/>
    <sheet name="8...Loader" sheetId="16" r:id="rId15"/>
    <sheet name="9...Trucks" sheetId="17" r:id="rId16"/>
    <sheet name="10...Backhoe" sheetId="18" r:id="rId17"/>
    <sheet name="11...Scraper" sheetId="19" r:id="rId18"/>
    <sheet name="12...M'grader" sheetId="20" r:id="rId19"/>
    <sheet name="13...EarthSum" sheetId="21" r:id="rId20"/>
    <sheet name="14...Reveg" sheetId="22" r:id="rId21"/>
    <sheet name="15...Seepage Capture" sheetId="23" r:id="rId22"/>
    <sheet name="16...Water Treatment" sheetId="24" r:id="rId23"/>
    <sheet name="17...Other" sheetId="25" r:id="rId24"/>
    <sheet name="18...O&amp;M" sheetId="26" r:id="rId25"/>
    <sheet name="19...CostSum" sheetId="27" r:id="rId26"/>
    <sheet name="20...NPV - CMI_2014" sheetId="29" r:id="rId27"/>
    <sheet name="21...Inflation Rate" sheetId="30" r:id="rId28"/>
    <sheet name="22...Discount Rate" sheetId="32" r:id="rId29"/>
  </sheets>
  <definedNames>
    <definedName name="_xlnm.Print_Area" localSheetId="21">'15...Seepage Capture'!$A$1:$J$5</definedName>
    <definedName name="_xlnm.Print_Area" localSheetId="22">'16...Water Treatment'!$A$1:$E$34</definedName>
    <definedName name="_xlnm.Print_Area" localSheetId="23">'17...Other'!$A$1:$P$172</definedName>
    <definedName name="_xlnm.Print_Area" localSheetId="24">'18...O&amp;M'!$A$1:$I$76</definedName>
    <definedName name="_xlnm.Print_Area" localSheetId="25">'19...CostSum'!$A$1:$D$39</definedName>
    <definedName name="_xlnm.Print_Area" localSheetId="2">'1a...Approach 2001'!$A$1:$H$80</definedName>
    <definedName name="_xlnm.Print_Area" localSheetId="3">'1b...Approach 2005'!$A$1:$H$85</definedName>
    <definedName name="_xlnm.Print_Area" localSheetId="4">'1c...Approach 2007'!$A$1:$H$85</definedName>
    <definedName name="_xlnm.Print_Area" localSheetId="5">'1d...Approach 2010'!$A$1:$H$86</definedName>
    <definedName name="_xlnm.Print_Area" localSheetId="6">'1e...Approach 2011 Semi-Update'!$A$1:$H$92</definedName>
    <definedName name="_xlnm.Print_Area" localSheetId="7">'1f...Approach 2018'!$A$1:$H$111</definedName>
    <definedName name="_xlnm.Print_Area" localSheetId="8">'2...Demo'!$A$1:$I$15</definedName>
    <definedName name="_xlnm.Print_Area" localSheetId="26">'20...NPV - CMI_2014'!$A$1:$U$67</definedName>
    <definedName name="_xlnm.Print_Area" localSheetId="28">'22...Discount Rate'!$A$1:$J$44</definedName>
    <definedName name="_xlnm.Print_Area" localSheetId="10">'4...Earthwrk'!$A$1:$I$157</definedName>
    <definedName name="_xlnm.Print_Area" localSheetId="12">'6...Grading'!$A$1:$T$31</definedName>
    <definedName name="_xlnm.Print_Titles" localSheetId="1">'1...Describe'!$1:$4</definedName>
    <definedName name="_xlnm.Print_Titles" localSheetId="19">'13...EarthSum'!$1:$5</definedName>
    <definedName name="_xlnm.Print_Titles" localSheetId="23">'17...Other'!$1:$4</definedName>
    <definedName name="_xlnm.Print_Titles" localSheetId="24">'18...O&amp;M'!$1:$5</definedName>
    <definedName name="_xlnm.Print_Titles" localSheetId="2">'1a...Approach 2001'!$1:$5</definedName>
    <definedName name="_xlnm.Print_Titles" localSheetId="3">'1b...Approach 2005'!$1:$5</definedName>
    <definedName name="_xlnm.Print_Titles" localSheetId="4">'1c...Approach 2007'!$1:$5</definedName>
    <definedName name="_xlnm.Print_Titles" localSheetId="5">'1d...Approach 2010'!$1:$5</definedName>
    <definedName name="_xlnm.Print_Titles" localSheetId="6">'1e...Approach 2011 Semi-Update'!$1:$5</definedName>
    <definedName name="_xlnm.Print_Titles" localSheetId="7">'1f...Approach 2018'!$1:$5</definedName>
    <definedName name="_xlnm.Print_Titles" localSheetId="8">'2...Demo'!$1:$11</definedName>
    <definedName name="_xlnm.Print_Titles" localSheetId="26">'20...NPV - CMI_2014'!$1:$14</definedName>
    <definedName name="_xlnm.Print_Titles" localSheetId="9">'3...Material'!$1:$8</definedName>
    <definedName name="_xlnm.Print_Titles" localSheetId="10">'4...Earthwrk'!$1:$8</definedName>
    <definedName name="_xlnm.Print_Titles" localSheetId="15">'9...Trucks'!$A:$C</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27" l="1"/>
  <c r="B141" i="25" l="1"/>
  <c r="B140" i="25"/>
  <c r="E141" i="25" l="1"/>
  <c r="F141" i="25" s="1"/>
  <c r="E140" i="25"/>
  <c r="F140" i="25" s="1"/>
  <c r="F142" i="25" l="1"/>
  <c r="G54" i="30" l="1"/>
  <c r="D15" i="22" l="1"/>
  <c r="G69" i="12" l="1"/>
  <c r="G53" i="12"/>
  <c r="G19" i="12"/>
  <c r="F20" i="21" l="1"/>
  <c r="G67" i="29" l="1"/>
  <c r="B95" i="26"/>
  <c r="B96" i="26" l="1"/>
  <c r="L12" i="13"/>
  <c r="F12" i="13"/>
  <c r="V30" i="29" l="1"/>
  <c r="V31" i="29"/>
  <c r="V18" i="29"/>
  <c r="V26" i="29"/>
  <c r="V34" i="29"/>
  <c r="V58" i="29"/>
  <c r="V19" i="29"/>
  <c r="V27" i="29"/>
  <c r="V35" i="29"/>
  <c r="V43" i="29"/>
  <c r="V51" i="29"/>
  <c r="V59" i="29"/>
  <c r="V29" i="29"/>
  <c r="V45" i="29"/>
  <c r="V61" i="29"/>
  <c r="V46" i="29"/>
  <c r="V62" i="29"/>
  <c r="V47" i="29"/>
  <c r="V63" i="29"/>
  <c r="V56" i="29"/>
  <c r="V25" i="29"/>
  <c r="V49" i="29"/>
  <c r="V50" i="29"/>
  <c r="V20" i="29"/>
  <c r="V28" i="29"/>
  <c r="V36" i="29"/>
  <c r="V44" i="29"/>
  <c r="V60" i="29"/>
  <c r="V21" i="29"/>
  <c r="V37" i="29"/>
  <c r="V53" i="29"/>
  <c r="V38" i="29"/>
  <c r="V54" i="29"/>
  <c r="V23" i="29"/>
  <c r="V39" i="29"/>
  <c r="V55" i="29"/>
  <c r="V24" i="29"/>
  <c r="V48" i="29"/>
  <c r="V17" i="29"/>
  <c r="V33" i="29"/>
  <c r="V57" i="29"/>
  <c r="V42" i="29"/>
  <c r="V22" i="29"/>
  <c r="V40" i="29"/>
  <c r="V41" i="29"/>
  <c r="I134" i="12"/>
  <c r="D12" i="22" l="1"/>
  <c r="D13" i="22"/>
  <c r="D14" i="22"/>
  <c r="D16" i="22"/>
  <c r="D17" i="22"/>
  <c r="E17" i="22" s="1"/>
  <c r="D18" i="22"/>
  <c r="E18" i="22" s="1"/>
  <c r="D19" i="22"/>
  <c r="D20" i="22"/>
  <c r="D21" i="22"/>
  <c r="C73" i="26" l="1"/>
  <c r="C21" i="22"/>
  <c r="E12" i="22"/>
  <c r="E13" i="22"/>
  <c r="I194" i="21" l="1"/>
  <c r="I193" i="21" l="1"/>
  <c r="I192" i="21"/>
  <c r="I191" i="21"/>
  <c r="I190" i="21"/>
  <c r="I189" i="21"/>
  <c r="G149" i="21" l="1"/>
  <c r="G136" i="21"/>
  <c r="G137" i="21"/>
  <c r="G92" i="21"/>
  <c r="G138" i="21"/>
  <c r="G139" i="21"/>
  <c r="G142" i="21"/>
  <c r="G71" i="21"/>
  <c r="G69" i="21"/>
  <c r="G14" i="21"/>
  <c r="G34" i="21"/>
  <c r="G77" i="21"/>
  <c r="G42" i="21"/>
  <c r="G151" i="21"/>
  <c r="G23" i="21"/>
  <c r="G41" i="21"/>
  <c r="G76" i="21"/>
  <c r="G43" i="21"/>
  <c r="G152" i="21"/>
  <c r="G11" i="21"/>
  <c r="G70" i="21"/>
  <c r="G12" i="21"/>
  <c r="G13" i="21"/>
  <c r="G20" i="21"/>
  <c r="G140" i="21"/>
  <c r="G153" i="21"/>
  <c r="G133" i="21"/>
  <c r="G157" i="21"/>
  <c r="G134" i="21"/>
  <c r="G135" i="21"/>
  <c r="G141" i="21"/>
  <c r="G68" i="21"/>
  <c r="G63" i="21"/>
  <c r="G61" i="21"/>
  <c r="G62" i="21"/>
  <c r="G15" i="21"/>
  <c r="G75" i="21"/>
  <c r="G67" i="21"/>
  <c r="G35" i="21"/>
  <c r="G17" i="21"/>
  <c r="G74" i="21"/>
  <c r="G66" i="21"/>
  <c r="G37" i="21"/>
  <c r="G18" i="21"/>
  <c r="G73" i="21"/>
  <c r="G65" i="21"/>
  <c r="G39" i="21"/>
  <c r="G91" i="21"/>
  <c r="G19" i="21"/>
  <c r="G72" i="21"/>
  <c r="G64" i="21"/>
  <c r="G40" i="21"/>
  <c r="C20" i="22" l="1"/>
  <c r="C19" i="22"/>
  <c r="E16" i="22"/>
  <c r="E15" i="22"/>
  <c r="E14" i="22"/>
  <c r="E20" i="22" l="1"/>
  <c r="E19" i="22"/>
  <c r="E21" i="22"/>
  <c r="E22" i="22" l="1"/>
  <c r="G71" i="26"/>
  <c r="C57" i="26" l="1"/>
  <c r="C56" i="26"/>
  <c r="C55" i="26"/>
  <c r="F50" i="32" l="1" a="1"/>
  <c r="F50" i="32" s="1"/>
  <c r="E54" i="30"/>
  <c r="E53" i="30" s="1"/>
  <c r="E52" i="30" s="1"/>
  <c r="E51" i="30" s="1"/>
  <c r="E50" i="30" s="1"/>
  <c r="E49" i="30" s="1"/>
  <c r="E48" i="30" s="1"/>
  <c r="E47" i="30" s="1"/>
  <c r="E46" i="30" s="1"/>
  <c r="E45" i="30" s="1"/>
  <c r="E44" i="30" s="1"/>
  <c r="E43" i="30" s="1"/>
  <c r="E42" i="30" s="1"/>
  <c r="E41" i="30" s="1"/>
  <c r="E40" i="30" s="1"/>
  <c r="E39" i="30" s="1"/>
  <c r="E38" i="30" s="1"/>
  <c r="E37" i="30" s="1"/>
  <c r="E36" i="30" s="1"/>
  <c r="E35" i="30" s="1"/>
  <c r="E34" i="30" s="1"/>
  <c r="E33" i="30" s="1"/>
  <c r="E32" i="30" s="1"/>
  <c r="E31" i="30" s="1"/>
  <c r="G53" i="30"/>
  <c r="G52" i="30"/>
  <c r="G51" i="30"/>
  <c r="G50" i="30"/>
  <c r="G49" i="30"/>
  <c r="G48" i="30"/>
  <c r="G47" i="30"/>
  <c r="G46" i="30"/>
  <c r="G45" i="30"/>
  <c r="G44" i="30"/>
  <c r="G43" i="30"/>
  <c r="G42" i="30"/>
  <c r="G41" i="30"/>
  <c r="G40" i="30"/>
  <c r="G39" i="30"/>
  <c r="G38" i="30"/>
  <c r="G37" i="30"/>
  <c r="G36" i="30"/>
  <c r="G35" i="30"/>
  <c r="G34" i="30"/>
  <c r="G33" i="30"/>
  <c r="G32" i="30"/>
  <c r="G31" i="30"/>
  <c r="G30" i="30"/>
  <c r="G29" i="30"/>
  <c r="G28" i="30"/>
  <c r="G56" i="30" l="1" a="1"/>
  <c r="G56" i="30" s="1"/>
  <c r="F32" i="21"/>
  <c r="F71" i="26" l="1"/>
  <c r="B104" i="26"/>
  <c r="F53" i="26"/>
  <c r="D57" i="26" s="1"/>
  <c r="C28" i="22"/>
  <c r="C31" i="22" s="1"/>
  <c r="C32" i="22" s="1"/>
  <c r="F16" i="21"/>
  <c r="B107" i="26" l="1"/>
  <c r="B108" i="26"/>
  <c r="B109" i="26" s="1"/>
  <c r="D56" i="26"/>
  <c r="S54" i="29" s="1"/>
  <c r="D55" i="26"/>
  <c r="S61" i="29"/>
  <c r="S58" i="29"/>
  <c r="S62" i="29"/>
  <c r="S59" i="29"/>
  <c r="S63" i="29"/>
  <c r="S60" i="29"/>
  <c r="H29" i="14"/>
  <c r="H30" i="14"/>
  <c r="H31" i="14"/>
  <c r="H32" i="14"/>
  <c r="H33" i="14"/>
  <c r="H34" i="14"/>
  <c r="H35" i="14"/>
  <c r="H36" i="14"/>
  <c r="H37" i="14"/>
  <c r="H38" i="14"/>
  <c r="B110" i="26" l="1"/>
  <c r="B101" i="26" s="1"/>
  <c r="B102" i="26" s="1"/>
  <c r="D32" i="27" s="1"/>
  <c r="D29" i="27"/>
  <c r="S67" i="29" s="1"/>
  <c r="S30" i="29"/>
  <c r="S50" i="29"/>
  <c r="S24" i="29"/>
  <c r="S19" i="29"/>
  <c r="S41" i="29"/>
  <c r="S51" i="29"/>
  <c r="S40" i="29"/>
  <c r="S26" i="29"/>
  <c r="S37" i="29"/>
  <c r="S43" i="29"/>
  <c r="S28" i="29"/>
  <c r="S22" i="29"/>
  <c r="S33" i="29"/>
  <c r="S57" i="29"/>
  <c r="S39" i="29"/>
  <c r="S20" i="29"/>
  <c r="S18" i="29"/>
  <c r="S29" i="29"/>
  <c r="S53" i="29"/>
  <c r="S35" i="29"/>
  <c r="S46" i="29"/>
  <c r="S44" i="29"/>
  <c r="S25" i="29"/>
  <c r="S49" i="29"/>
  <c r="S47" i="29"/>
  <c r="S31" i="29"/>
  <c r="S42" i="29"/>
  <c r="S32" i="29"/>
  <c r="S21" i="29"/>
  <c r="S55" i="29"/>
  <c r="S56" i="29"/>
  <c r="S15" i="29"/>
  <c r="S27" i="29"/>
  <c r="S38" i="29"/>
  <c r="S16" i="29"/>
  <c r="S17" i="29"/>
  <c r="S48" i="29"/>
  <c r="S52" i="29"/>
  <c r="S36" i="29"/>
  <c r="S23" i="29"/>
  <c r="S34" i="29"/>
  <c r="S45" i="29"/>
  <c r="A12" i="15"/>
  <c r="D12" i="15"/>
  <c r="I12" i="15"/>
  <c r="H28" i="14"/>
  <c r="H13" i="14"/>
  <c r="H14" i="14"/>
  <c r="H15" i="14"/>
  <c r="H16" i="14"/>
  <c r="H17" i="14"/>
  <c r="H18" i="14"/>
  <c r="H19" i="14"/>
  <c r="H20" i="14"/>
  <c r="H21" i="14"/>
  <c r="H12" i="14"/>
  <c r="F13" i="13"/>
  <c r="F14" i="13"/>
  <c r="F15" i="13"/>
  <c r="F16" i="13"/>
  <c r="F17" i="13"/>
  <c r="F18" i="13"/>
  <c r="F19" i="13"/>
  <c r="F20" i="13"/>
  <c r="F21" i="13"/>
  <c r="V67" i="29" l="1"/>
  <c r="V52" i="29"/>
  <c r="V32" i="29"/>
  <c r="V64" i="29" s="1"/>
  <c r="G12" i="15"/>
  <c r="F135" i="25" l="1"/>
  <c r="F136" i="25" s="1"/>
  <c r="F137" i="25" l="1"/>
  <c r="C145" i="25"/>
  <c r="D145" i="25"/>
  <c r="H4" i="33" l="1"/>
  <c r="H3" i="33"/>
  <c r="A2" i="33"/>
  <c r="H1" i="33"/>
  <c r="A1" i="33"/>
  <c r="E16" i="25" l="1"/>
  <c r="F16" i="25" s="1"/>
  <c r="E15" i="25"/>
  <c r="F15" i="25" s="1"/>
  <c r="E14" i="25"/>
  <c r="F14" i="25" s="1"/>
  <c r="E13" i="25"/>
  <c r="F13" i="25" s="1"/>
  <c r="E12" i="25"/>
  <c r="F12" i="25" s="1"/>
  <c r="E11" i="25"/>
  <c r="F11" i="25" s="1"/>
  <c r="E10" i="25"/>
  <c r="F10" i="25" s="1"/>
  <c r="E128" i="25"/>
  <c r="F128" i="25" s="1"/>
  <c r="F17" i="25" l="1"/>
  <c r="F18" i="25" s="1"/>
  <c r="F19" i="25" s="1"/>
  <c r="F129" i="25"/>
  <c r="F130" i="25" s="1"/>
  <c r="G44" i="21"/>
  <c r="B44" i="21"/>
  <c r="E38" i="14"/>
  <c r="D38" i="14"/>
  <c r="A38" i="14"/>
  <c r="C44" i="21" s="1"/>
  <c r="E156" i="12"/>
  <c r="G38" i="14" s="1"/>
  <c r="J44" i="21" s="1"/>
  <c r="C156" i="12"/>
  <c r="B38" i="14" s="1"/>
  <c r="D44" i="21" s="1"/>
  <c r="L21" i="13"/>
  <c r="L20" i="13"/>
  <c r="E20" i="13"/>
  <c r="G20" i="13" s="1"/>
  <c r="H19" i="21" s="1"/>
  <c r="E21" i="13"/>
  <c r="J20" i="21" s="1"/>
  <c r="D20" i="13"/>
  <c r="B19" i="21" s="1"/>
  <c r="D21" i="13"/>
  <c r="B20" i="21" s="1"/>
  <c r="H17" i="12"/>
  <c r="I17" i="12" s="1"/>
  <c r="H18" i="12"/>
  <c r="I18" i="12" s="1"/>
  <c r="C17" i="12"/>
  <c r="B20" i="13" s="1"/>
  <c r="D19" i="21" s="1"/>
  <c r="C18" i="12"/>
  <c r="B21" i="13" s="1"/>
  <c r="D20" i="21" s="1"/>
  <c r="B17" i="12"/>
  <c r="A20" i="13" s="1"/>
  <c r="C19" i="21" s="1"/>
  <c r="B18" i="12"/>
  <c r="A21" i="13" s="1"/>
  <c r="C20" i="21" s="1"/>
  <c r="E77" i="25"/>
  <c r="F77" i="25" s="1"/>
  <c r="E76" i="25"/>
  <c r="F76" i="25" s="1"/>
  <c r="E70" i="25"/>
  <c r="F70" i="25" s="1"/>
  <c r="E69" i="25"/>
  <c r="F69" i="25" s="1"/>
  <c r="E68" i="25"/>
  <c r="F68" i="25" s="1"/>
  <c r="E67" i="25"/>
  <c r="F67" i="25" s="1"/>
  <c r="E66" i="25"/>
  <c r="F66" i="25" s="1"/>
  <c r="E65" i="25"/>
  <c r="F65" i="25" s="1"/>
  <c r="E64" i="25"/>
  <c r="F64" i="25" s="1"/>
  <c r="E63" i="25"/>
  <c r="F63" i="25" s="1"/>
  <c r="E62" i="25"/>
  <c r="F62" i="25" s="1"/>
  <c r="E61" i="25"/>
  <c r="F61" i="25" s="1"/>
  <c r="E60" i="25"/>
  <c r="F60" i="25" s="1"/>
  <c r="E59" i="25"/>
  <c r="F59" i="25" s="1"/>
  <c r="E58" i="25"/>
  <c r="F58" i="25" s="1"/>
  <c r="E57" i="25"/>
  <c r="F57" i="25" s="1"/>
  <c r="E56" i="25"/>
  <c r="F56" i="25" s="1"/>
  <c r="E55" i="25"/>
  <c r="F55" i="25" s="1"/>
  <c r="E54" i="25"/>
  <c r="F54" i="25" s="1"/>
  <c r="E53" i="25"/>
  <c r="F53" i="25" s="1"/>
  <c r="E52" i="25"/>
  <c r="F52" i="25" s="1"/>
  <c r="E51" i="25"/>
  <c r="F51" i="25" s="1"/>
  <c r="E50" i="25"/>
  <c r="F50" i="25" s="1"/>
  <c r="E49" i="25"/>
  <c r="F49" i="25" s="1"/>
  <c r="E48" i="25"/>
  <c r="F48" i="25" s="1"/>
  <c r="E47" i="25"/>
  <c r="F47" i="25" s="1"/>
  <c r="E46" i="25"/>
  <c r="F46" i="25" s="1"/>
  <c r="E45" i="25"/>
  <c r="F45" i="25" s="1"/>
  <c r="E44" i="25"/>
  <c r="F44" i="25" s="1"/>
  <c r="E43" i="25"/>
  <c r="F43" i="25" s="1"/>
  <c r="E42" i="25"/>
  <c r="F42" i="25" s="1"/>
  <c r="E41" i="25"/>
  <c r="F41" i="25" s="1"/>
  <c r="E40" i="25"/>
  <c r="F40" i="25" s="1"/>
  <c r="E39" i="25"/>
  <c r="F39" i="25" s="1"/>
  <c r="E38" i="25"/>
  <c r="F38" i="25" s="1"/>
  <c r="E37" i="25"/>
  <c r="F37" i="25" s="1"/>
  <c r="E36" i="25"/>
  <c r="F36" i="25" s="1"/>
  <c r="E35" i="25"/>
  <c r="F35" i="25" s="1"/>
  <c r="E34" i="25"/>
  <c r="F34" i="25" s="1"/>
  <c r="E33" i="25"/>
  <c r="F33" i="25" s="1"/>
  <c r="E32" i="25"/>
  <c r="F32" i="25" s="1"/>
  <c r="E31" i="25"/>
  <c r="F31" i="25" s="1"/>
  <c r="F131" i="25" l="1"/>
  <c r="F78" i="25"/>
  <c r="F79" i="25" s="1"/>
  <c r="F80" i="25" s="1"/>
  <c r="F71" i="25"/>
  <c r="F72" i="25" s="1"/>
  <c r="F73" i="25" s="1"/>
  <c r="J19" i="21"/>
  <c r="I38" i="14"/>
  <c r="H44" i="21" s="1"/>
  <c r="G21" i="13"/>
  <c r="H20" i="21" s="1"/>
  <c r="E25" i="25"/>
  <c r="F25" i="25" s="1"/>
  <c r="E24" i="25"/>
  <c r="F24" i="25" s="1"/>
  <c r="E23" i="25"/>
  <c r="F23" i="25" s="1"/>
  <c r="E22" i="25"/>
  <c r="F22" i="25" s="1"/>
  <c r="G146" i="21"/>
  <c r="G147" i="21"/>
  <c r="G148" i="21"/>
  <c r="G150" i="21"/>
  <c r="G154" i="21"/>
  <c r="G155" i="21"/>
  <c r="G156" i="21"/>
  <c r="G145" i="21"/>
  <c r="G131" i="21"/>
  <c r="G132" i="21"/>
  <c r="G130" i="21"/>
  <c r="G129" i="21"/>
  <c r="G128" i="21"/>
  <c r="G127" i="21"/>
  <c r="G126" i="21"/>
  <c r="G125" i="21"/>
  <c r="G124" i="21"/>
  <c r="G123" i="21"/>
  <c r="G122" i="21"/>
  <c r="G121" i="21"/>
  <c r="G120" i="21"/>
  <c r="G119" i="21"/>
  <c r="G118" i="21"/>
  <c r="G117" i="21"/>
  <c r="G116" i="21"/>
  <c r="G115" i="21"/>
  <c r="G114" i="21"/>
  <c r="G113" i="21"/>
  <c r="G112" i="21"/>
  <c r="G111" i="21"/>
  <c r="F124" i="21"/>
  <c r="G103" i="21"/>
  <c r="G102" i="21"/>
  <c r="G106" i="21"/>
  <c r="G105" i="21"/>
  <c r="G101" i="21"/>
  <c r="G100" i="21"/>
  <c r="G99" i="21"/>
  <c r="G107" i="21"/>
  <c r="G97" i="21"/>
  <c r="G96" i="21"/>
  <c r="G90" i="21"/>
  <c r="G89" i="21"/>
  <c r="G88" i="21"/>
  <c r="G87" i="21"/>
  <c r="G82" i="21"/>
  <c r="G81" i="21"/>
  <c r="B81" i="21"/>
  <c r="F127" i="21" l="1"/>
  <c r="F153" i="21"/>
  <c r="F142" i="21"/>
  <c r="F150" i="21"/>
  <c r="F154" i="21"/>
  <c r="F141" i="21"/>
  <c r="F120" i="21"/>
  <c r="F116" i="21"/>
  <c r="F125" i="21"/>
  <c r="F112" i="21"/>
  <c r="F121" i="21"/>
  <c r="F117" i="21"/>
  <c r="F126" i="21"/>
  <c r="F113" i="21"/>
  <c r="F122" i="21"/>
  <c r="F137" i="21"/>
  <c r="F118" i="21"/>
  <c r="F139" i="21"/>
  <c r="F114" i="21"/>
  <c r="F140" i="21"/>
  <c r="F131" i="21"/>
  <c r="F156" i="21"/>
  <c r="F138" i="21"/>
  <c r="F129" i="21"/>
  <c r="F133" i="21"/>
  <c r="F111" i="21"/>
  <c r="F130" i="21"/>
  <c r="F136" i="21"/>
  <c r="F148" i="21"/>
  <c r="F152" i="21"/>
  <c r="F132" i="21"/>
  <c r="F155" i="21"/>
  <c r="F128" i="21"/>
  <c r="F145" i="21"/>
  <c r="F149" i="21"/>
  <c r="F146" i="21"/>
  <c r="F157" i="21"/>
  <c r="F134" i="21"/>
  <c r="F147" i="21"/>
  <c r="F151" i="21"/>
  <c r="F115" i="21"/>
  <c r="F119" i="21"/>
  <c r="F123" i="21"/>
  <c r="F135" i="21"/>
  <c r="F26" i="25"/>
  <c r="F27" i="25" s="1"/>
  <c r="F28" i="25" s="1"/>
  <c r="G95" i="21"/>
  <c r="G98" i="21"/>
  <c r="G104" i="21"/>
  <c r="G86" i="21"/>
  <c r="G85" i="21"/>
  <c r="G84" i="21"/>
  <c r="G83" i="21"/>
  <c r="G80" i="21"/>
  <c r="G79" i="21"/>
  <c r="G78" i="21"/>
  <c r="B96" i="21"/>
  <c r="B97" i="21"/>
  <c r="B98" i="21"/>
  <c r="B99" i="21"/>
  <c r="B100" i="21"/>
  <c r="B101" i="21"/>
  <c r="B102" i="21"/>
  <c r="B103" i="21"/>
  <c r="B104" i="21"/>
  <c r="B105" i="21"/>
  <c r="B106" i="21"/>
  <c r="B107" i="21"/>
  <c r="B95" i="21"/>
  <c r="G36" i="21"/>
  <c r="G28" i="21"/>
  <c r="G29" i="21"/>
  <c r="G27" i="21"/>
  <c r="G26" i="21"/>
  <c r="G25" i="21"/>
  <c r="G24" i="21"/>
  <c r="G16" i="21"/>
  <c r="F29" i="21" l="1"/>
  <c r="F27" i="21"/>
  <c r="F24" i="21"/>
  <c r="F15" i="21"/>
  <c r="F14" i="21"/>
  <c r="F19" i="21"/>
  <c r="I19" i="21" s="1"/>
  <c r="L19" i="21" s="1"/>
  <c r="F11" i="21"/>
  <c r="F13" i="21"/>
  <c r="F18" i="21"/>
  <c r="F17" i="21"/>
  <c r="F12" i="21"/>
  <c r="F23" i="21"/>
  <c r="F28" i="21"/>
  <c r="F26" i="21"/>
  <c r="F25" i="21"/>
  <c r="F30" i="21"/>
  <c r="F31" i="21"/>
  <c r="I20" i="21"/>
  <c r="L20" i="21" s="1"/>
  <c r="F80" i="21"/>
  <c r="F86" i="21"/>
  <c r="F75" i="21"/>
  <c r="F35" i="21"/>
  <c r="F36" i="21"/>
  <c r="F64" i="21"/>
  <c r="F72" i="21"/>
  <c r="F39" i="21"/>
  <c r="F40" i="21"/>
  <c r="F65" i="21"/>
  <c r="F69" i="21"/>
  <c r="F73" i="21"/>
  <c r="F77" i="21"/>
  <c r="F85" i="21"/>
  <c r="F87" i="21"/>
  <c r="F99" i="21"/>
  <c r="F89" i="21"/>
  <c r="F88" i="21"/>
  <c r="F101" i="21"/>
  <c r="F90" i="21"/>
  <c r="F103" i="21"/>
  <c r="F107" i="21"/>
  <c r="F102" i="21"/>
  <c r="F41" i="21"/>
  <c r="F61" i="21"/>
  <c r="F92" i="21"/>
  <c r="F44" i="21"/>
  <c r="I44" i="21" s="1"/>
  <c r="L44" i="21" s="1"/>
  <c r="F42" i="21"/>
  <c r="F62" i="21"/>
  <c r="F66" i="21"/>
  <c r="F70" i="21"/>
  <c r="F74" i="21"/>
  <c r="F91" i="21"/>
  <c r="F43" i="21"/>
  <c r="F37" i="21"/>
  <c r="F68" i="21"/>
  <c r="F76" i="21"/>
  <c r="F100" i="21"/>
  <c r="F82" i="21"/>
  <c r="F98" i="21"/>
  <c r="F104" i="21"/>
  <c r="F97" i="21"/>
  <c r="F106" i="21"/>
  <c r="F96" i="21"/>
  <c r="F95" i="21"/>
  <c r="F105" i="21"/>
  <c r="F81" i="21"/>
  <c r="F79" i="21"/>
  <c r="F34" i="21"/>
  <c r="F63" i="21"/>
  <c r="F67" i="21"/>
  <c r="F71" i="21"/>
  <c r="F78" i="21"/>
  <c r="F83" i="21"/>
  <c r="F84" i="21"/>
  <c r="F38" i="21"/>
  <c r="B112" i="21"/>
  <c r="B113" i="21"/>
  <c r="B114" i="21"/>
  <c r="B115" i="21"/>
  <c r="B116" i="21"/>
  <c r="B117" i="21"/>
  <c r="B118" i="21"/>
  <c r="B119" i="21"/>
  <c r="B120" i="21"/>
  <c r="B121" i="21"/>
  <c r="B122" i="21"/>
  <c r="B123" i="21"/>
  <c r="B124" i="21"/>
  <c r="B125" i="21"/>
  <c r="B126" i="21"/>
  <c r="B127" i="21"/>
  <c r="B128" i="21"/>
  <c r="B129" i="21"/>
  <c r="B130" i="21"/>
  <c r="B131" i="21"/>
  <c r="B132" i="21"/>
  <c r="B133" i="21"/>
  <c r="B134" i="21"/>
  <c r="B135" i="21"/>
  <c r="B136" i="21"/>
  <c r="B137" i="21"/>
  <c r="B138" i="21"/>
  <c r="B139" i="21"/>
  <c r="B140" i="21"/>
  <c r="B141" i="21"/>
  <c r="B142" i="21"/>
  <c r="B145" i="21"/>
  <c r="B146" i="21"/>
  <c r="B147" i="21"/>
  <c r="B148" i="21"/>
  <c r="B149" i="21"/>
  <c r="B150" i="21"/>
  <c r="B151" i="21"/>
  <c r="B152" i="21"/>
  <c r="B153" i="21"/>
  <c r="B154" i="21"/>
  <c r="B155" i="21"/>
  <c r="B156" i="21"/>
  <c r="B157" i="21"/>
  <c r="B80" i="21"/>
  <c r="B82" i="21"/>
  <c r="B83" i="21"/>
  <c r="B84" i="21"/>
  <c r="B85" i="21"/>
  <c r="B86" i="21"/>
  <c r="B87" i="21"/>
  <c r="B88" i="21"/>
  <c r="B89" i="21"/>
  <c r="B90" i="21"/>
  <c r="B91" i="21"/>
  <c r="B92" i="21"/>
  <c r="B62" i="21"/>
  <c r="B63" i="21"/>
  <c r="B64" i="21"/>
  <c r="B65" i="21"/>
  <c r="B66" i="21"/>
  <c r="B67" i="21"/>
  <c r="B68" i="21"/>
  <c r="B69" i="21"/>
  <c r="B70" i="21"/>
  <c r="B71" i="21"/>
  <c r="B72" i="21"/>
  <c r="B73" i="21"/>
  <c r="B74" i="21"/>
  <c r="B75" i="21"/>
  <c r="B76" i="21"/>
  <c r="B77" i="21"/>
  <c r="B78" i="21"/>
  <c r="B79" i="21"/>
  <c r="B48" i="21"/>
  <c r="B49" i="21"/>
  <c r="B50" i="21"/>
  <c r="B51" i="21"/>
  <c r="B52" i="21"/>
  <c r="B53" i="21"/>
  <c r="B54" i="21"/>
  <c r="B55" i="21"/>
  <c r="B56" i="21"/>
  <c r="E56" i="21"/>
  <c r="B57" i="21"/>
  <c r="B35" i="21"/>
  <c r="B36" i="21"/>
  <c r="B37" i="21"/>
  <c r="B38" i="21"/>
  <c r="B39" i="21"/>
  <c r="B40" i="21"/>
  <c r="B41" i="21"/>
  <c r="B42" i="21"/>
  <c r="B43" i="21"/>
  <c r="B32" i="21"/>
  <c r="AF38" i="17" l="1"/>
  <c r="E94" i="11"/>
  <c r="AF49" i="17"/>
  <c r="AF50" i="17"/>
  <c r="AF51" i="17"/>
  <c r="AF52" i="17"/>
  <c r="AF53" i="17"/>
  <c r="AF54" i="17"/>
  <c r="AF55" i="17"/>
  <c r="AF56" i="17"/>
  <c r="AF57" i="17"/>
  <c r="AF58" i="17"/>
  <c r="AF59" i="17"/>
  <c r="AF48" i="17"/>
  <c r="AF47" i="17"/>
  <c r="AF37" i="17"/>
  <c r="AF39" i="17"/>
  <c r="AF40" i="17"/>
  <c r="AF41" i="17"/>
  <c r="AF42" i="17"/>
  <c r="AF44" i="17"/>
  <c r="AF13" i="17"/>
  <c r="AF14" i="17"/>
  <c r="AF15" i="17"/>
  <c r="AF16" i="17"/>
  <c r="AF17" i="17"/>
  <c r="AF18" i="17"/>
  <c r="AF19" i="17"/>
  <c r="AF20" i="17"/>
  <c r="AF21" i="17"/>
  <c r="AF22" i="17"/>
  <c r="AF23" i="17"/>
  <c r="AF24" i="17"/>
  <c r="AF25" i="17"/>
  <c r="AF26" i="17"/>
  <c r="AF27" i="17"/>
  <c r="AF28" i="17"/>
  <c r="AF29" i="17"/>
  <c r="AF30" i="17"/>
  <c r="AF31" i="17"/>
  <c r="AF32" i="17"/>
  <c r="AF33" i="17"/>
  <c r="AF34" i="17"/>
  <c r="AF35" i="17"/>
  <c r="AF36" i="17"/>
  <c r="AE17" i="17" l="1"/>
  <c r="AE48" i="17"/>
  <c r="AE49" i="17"/>
  <c r="AE50" i="17"/>
  <c r="AE51" i="17"/>
  <c r="AE52" i="17"/>
  <c r="AE53" i="17"/>
  <c r="AE54" i="17"/>
  <c r="AE55" i="17"/>
  <c r="AE56" i="17"/>
  <c r="AE57" i="17"/>
  <c r="AE58" i="17"/>
  <c r="AE59" i="17"/>
  <c r="AE47" i="17"/>
  <c r="AE14" i="17"/>
  <c r="AE15" i="17"/>
  <c r="AE16" i="17"/>
  <c r="AE18" i="17"/>
  <c r="AE19" i="17"/>
  <c r="AE20" i="17"/>
  <c r="AE21" i="17"/>
  <c r="AE22" i="17"/>
  <c r="AE23" i="17"/>
  <c r="AE24" i="17"/>
  <c r="AE25" i="17"/>
  <c r="AE26" i="17"/>
  <c r="AE27" i="17"/>
  <c r="AE28" i="17"/>
  <c r="AE29" i="17"/>
  <c r="AE30" i="17"/>
  <c r="AE31" i="17"/>
  <c r="AE32" i="17"/>
  <c r="AE33" i="17"/>
  <c r="AE34" i="17"/>
  <c r="AE35" i="17"/>
  <c r="AE36" i="17"/>
  <c r="AE37" i="17"/>
  <c r="AE38" i="17"/>
  <c r="AE39" i="17"/>
  <c r="AE40" i="17"/>
  <c r="AE41" i="17"/>
  <c r="AE42" i="17"/>
  <c r="AE44" i="17"/>
  <c r="AE13" i="17"/>
  <c r="W48" i="17"/>
  <c r="X48" i="17"/>
  <c r="Y48" i="17"/>
  <c r="Z48" i="17"/>
  <c r="AA48" i="17"/>
  <c r="AB48" i="17"/>
  <c r="AC48" i="17"/>
  <c r="AD48" i="17"/>
  <c r="W49" i="17"/>
  <c r="X49" i="17"/>
  <c r="Y49" i="17"/>
  <c r="Z49" i="17"/>
  <c r="AA49" i="17"/>
  <c r="AB49" i="17"/>
  <c r="AC49" i="17"/>
  <c r="AD49" i="17"/>
  <c r="W50" i="17"/>
  <c r="X50" i="17"/>
  <c r="Y50" i="17"/>
  <c r="Z50" i="17"/>
  <c r="AA50" i="17"/>
  <c r="AB50" i="17"/>
  <c r="AC50" i="17"/>
  <c r="AD50" i="17"/>
  <c r="W51" i="17"/>
  <c r="X51" i="17"/>
  <c r="Y51" i="17"/>
  <c r="Z51" i="17"/>
  <c r="AA51" i="17"/>
  <c r="AB51" i="17"/>
  <c r="AC51" i="17"/>
  <c r="AD51" i="17"/>
  <c r="W52" i="17"/>
  <c r="X52" i="17"/>
  <c r="Y52" i="17"/>
  <c r="Z52" i="17"/>
  <c r="AA52" i="17"/>
  <c r="AB52" i="17"/>
  <c r="AC52" i="17"/>
  <c r="AD52" i="17"/>
  <c r="W53" i="17"/>
  <c r="X53" i="17"/>
  <c r="Y53" i="17"/>
  <c r="Z53" i="17"/>
  <c r="AA53" i="17"/>
  <c r="AB53" i="17"/>
  <c r="AC53" i="17"/>
  <c r="AD53" i="17"/>
  <c r="W54" i="17"/>
  <c r="X54" i="17"/>
  <c r="Y54" i="17"/>
  <c r="Z54" i="17"/>
  <c r="AA54" i="17"/>
  <c r="AB54" i="17"/>
  <c r="AC54" i="17"/>
  <c r="AD54" i="17"/>
  <c r="W55" i="17"/>
  <c r="X55" i="17"/>
  <c r="Y55" i="17"/>
  <c r="Z55" i="17"/>
  <c r="AA55" i="17"/>
  <c r="AB55" i="17"/>
  <c r="AC55" i="17"/>
  <c r="AD55" i="17"/>
  <c r="W56" i="17"/>
  <c r="X56" i="17"/>
  <c r="Y56" i="17"/>
  <c r="Z56" i="17"/>
  <c r="AA56" i="17"/>
  <c r="AB56" i="17"/>
  <c r="AC56" i="17"/>
  <c r="AD56" i="17"/>
  <c r="W57" i="17"/>
  <c r="X57" i="17"/>
  <c r="Y57" i="17"/>
  <c r="Z57" i="17"/>
  <c r="AA57" i="17"/>
  <c r="AB57" i="17"/>
  <c r="AC57" i="17"/>
  <c r="AD57" i="17"/>
  <c r="W58" i="17"/>
  <c r="X58" i="17"/>
  <c r="Y58" i="17"/>
  <c r="Z58" i="17"/>
  <c r="AA58" i="17"/>
  <c r="AB58" i="17"/>
  <c r="AC58" i="17"/>
  <c r="AD58" i="17"/>
  <c r="W59" i="17"/>
  <c r="X59" i="17"/>
  <c r="Y59" i="17"/>
  <c r="Z59" i="17"/>
  <c r="AA59" i="17"/>
  <c r="AB59" i="17"/>
  <c r="AC59" i="17"/>
  <c r="AD59" i="17"/>
  <c r="AD47" i="17"/>
  <c r="AC47" i="17"/>
  <c r="AB47" i="17"/>
  <c r="AA47" i="17"/>
  <c r="Z47" i="17"/>
  <c r="Y47" i="17"/>
  <c r="X47" i="17"/>
  <c r="W47" i="17"/>
  <c r="W14" i="17"/>
  <c r="X14" i="17"/>
  <c r="Y14" i="17"/>
  <c r="Z14" i="17"/>
  <c r="AA14" i="17"/>
  <c r="AB14" i="17"/>
  <c r="AC14" i="17"/>
  <c r="AD14" i="17"/>
  <c r="W15" i="17"/>
  <c r="X15" i="17"/>
  <c r="Y15" i="17"/>
  <c r="Z15" i="17"/>
  <c r="AA15" i="17"/>
  <c r="AB15" i="17"/>
  <c r="AC15" i="17"/>
  <c r="AD15" i="17"/>
  <c r="W16" i="17"/>
  <c r="X16" i="17"/>
  <c r="Y16" i="17"/>
  <c r="Z16" i="17"/>
  <c r="AA16" i="17"/>
  <c r="AB16" i="17"/>
  <c r="AC16" i="17"/>
  <c r="AD16" i="17"/>
  <c r="W17" i="17"/>
  <c r="X17" i="17"/>
  <c r="Y17" i="17"/>
  <c r="Z17" i="17"/>
  <c r="AA17" i="17"/>
  <c r="AB17" i="17"/>
  <c r="AC17" i="17"/>
  <c r="AD17" i="17"/>
  <c r="W18" i="17"/>
  <c r="X18" i="17"/>
  <c r="Y18" i="17"/>
  <c r="Z18" i="17"/>
  <c r="AA18" i="17"/>
  <c r="AB18" i="17"/>
  <c r="AC18" i="17"/>
  <c r="AD18" i="17"/>
  <c r="W19" i="17"/>
  <c r="X19" i="17"/>
  <c r="Y19" i="17"/>
  <c r="Z19" i="17"/>
  <c r="AA19" i="17"/>
  <c r="AB19" i="17"/>
  <c r="AC19" i="17"/>
  <c r="AD19" i="17"/>
  <c r="W20" i="17"/>
  <c r="X20" i="17"/>
  <c r="Y20" i="17"/>
  <c r="Z20" i="17"/>
  <c r="AA20" i="17"/>
  <c r="AB20" i="17"/>
  <c r="AC20" i="17"/>
  <c r="AD20" i="17"/>
  <c r="W21" i="17"/>
  <c r="X21" i="17"/>
  <c r="Y21" i="17"/>
  <c r="Z21" i="17"/>
  <c r="AA21" i="17"/>
  <c r="AB21" i="17"/>
  <c r="AC21" i="17"/>
  <c r="AD21" i="17"/>
  <c r="W22" i="17"/>
  <c r="X22" i="17"/>
  <c r="Y22" i="17"/>
  <c r="Z22" i="17"/>
  <c r="AA22" i="17"/>
  <c r="AB22" i="17"/>
  <c r="AC22" i="17"/>
  <c r="AD22" i="17"/>
  <c r="W23" i="17"/>
  <c r="X23" i="17"/>
  <c r="Y23" i="17"/>
  <c r="Z23" i="17"/>
  <c r="AA23" i="17"/>
  <c r="AB23" i="17"/>
  <c r="AC23" i="17"/>
  <c r="AD23" i="17"/>
  <c r="W24" i="17"/>
  <c r="X24" i="17"/>
  <c r="Y24" i="17"/>
  <c r="Z24" i="17"/>
  <c r="AA24" i="17"/>
  <c r="AB24" i="17"/>
  <c r="AC24" i="17"/>
  <c r="AD24" i="17"/>
  <c r="W25" i="17"/>
  <c r="X25" i="17"/>
  <c r="Y25" i="17"/>
  <c r="Z25" i="17"/>
  <c r="AA25" i="17"/>
  <c r="AB25" i="17"/>
  <c r="AC25" i="17"/>
  <c r="AD25" i="17"/>
  <c r="W26" i="17"/>
  <c r="X26" i="17"/>
  <c r="Y26" i="17"/>
  <c r="Z26" i="17"/>
  <c r="AA26" i="17"/>
  <c r="AB26" i="17"/>
  <c r="AC26" i="17"/>
  <c r="AD26" i="17"/>
  <c r="W27" i="17"/>
  <c r="X27" i="17"/>
  <c r="Y27" i="17"/>
  <c r="Z27" i="17"/>
  <c r="AA27" i="17"/>
  <c r="AB27" i="17"/>
  <c r="AC27" i="17"/>
  <c r="AD27" i="17"/>
  <c r="W28" i="17"/>
  <c r="X28" i="17"/>
  <c r="Y28" i="17"/>
  <c r="Z28" i="17"/>
  <c r="AA28" i="17"/>
  <c r="AB28" i="17"/>
  <c r="AC28" i="17"/>
  <c r="AD28" i="17"/>
  <c r="W29" i="17"/>
  <c r="X29" i="17"/>
  <c r="Y29" i="17"/>
  <c r="Z29" i="17"/>
  <c r="AA29" i="17"/>
  <c r="AB29" i="17"/>
  <c r="AC29" i="17"/>
  <c r="AD29" i="17"/>
  <c r="W30" i="17"/>
  <c r="X30" i="17"/>
  <c r="Y30" i="17"/>
  <c r="Z30" i="17"/>
  <c r="AA30" i="17"/>
  <c r="AB30" i="17"/>
  <c r="AC30" i="17"/>
  <c r="AD30" i="17"/>
  <c r="W31" i="17"/>
  <c r="X31" i="17"/>
  <c r="Y31" i="17"/>
  <c r="Z31" i="17"/>
  <c r="AA31" i="17"/>
  <c r="AB31" i="17"/>
  <c r="AC31" i="17"/>
  <c r="AD31" i="17"/>
  <c r="W32" i="17"/>
  <c r="X32" i="17"/>
  <c r="Y32" i="17"/>
  <c r="Z32" i="17"/>
  <c r="AA32" i="17"/>
  <c r="AB32" i="17"/>
  <c r="AC32" i="17"/>
  <c r="AD32" i="17"/>
  <c r="W33" i="17"/>
  <c r="X33" i="17"/>
  <c r="Y33" i="17"/>
  <c r="Z33" i="17"/>
  <c r="AA33" i="17"/>
  <c r="AB33" i="17"/>
  <c r="AC33" i="17"/>
  <c r="AD33" i="17"/>
  <c r="W34" i="17"/>
  <c r="X34" i="17"/>
  <c r="Y34" i="17"/>
  <c r="Z34" i="17"/>
  <c r="AA34" i="17"/>
  <c r="AB34" i="17"/>
  <c r="AC34" i="17"/>
  <c r="AD34" i="17"/>
  <c r="W35" i="17"/>
  <c r="X35" i="17"/>
  <c r="Y35" i="17"/>
  <c r="Z35" i="17"/>
  <c r="AA35" i="17"/>
  <c r="AB35" i="17"/>
  <c r="AC35" i="17"/>
  <c r="AD35" i="17"/>
  <c r="W36" i="17"/>
  <c r="X36" i="17"/>
  <c r="Y36" i="17"/>
  <c r="Z36" i="17"/>
  <c r="AA36" i="17"/>
  <c r="AB36" i="17"/>
  <c r="AC36" i="17"/>
  <c r="AD36" i="17"/>
  <c r="W37" i="17"/>
  <c r="X37" i="17"/>
  <c r="Y37" i="17"/>
  <c r="Z37" i="17"/>
  <c r="AA37" i="17"/>
  <c r="AB37" i="17"/>
  <c r="AC37" i="17"/>
  <c r="AD37" i="17"/>
  <c r="W38" i="17"/>
  <c r="X38" i="17"/>
  <c r="Y38" i="17"/>
  <c r="Z38" i="17"/>
  <c r="AA38" i="17"/>
  <c r="AB38" i="17"/>
  <c r="AC38" i="17"/>
  <c r="AD38" i="17"/>
  <c r="W39" i="17"/>
  <c r="X39" i="17"/>
  <c r="Y39" i="17"/>
  <c r="Z39" i="17"/>
  <c r="AA39" i="17"/>
  <c r="AB39" i="17"/>
  <c r="AC39" i="17"/>
  <c r="AD39" i="17"/>
  <c r="W40" i="17"/>
  <c r="X40" i="17"/>
  <c r="Y40" i="17"/>
  <c r="Z40" i="17"/>
  <c r="AA40" i="17"/>
  <c r="AB40" i="17"/>
  <c r="AC40" i="17"/>
  <c r="AD40" i="17"/>
  <c r="W41" i="17"/>
  <c r="X41" i="17"/>
  <c r="Y41" i="17"/>
  <c r="Z41" i="17"/>
  <c r="AA41" i="17"/>
  <c r="AB41" i="17"/>
  <c r="AC41" i="17"/>
  <c r="AD41" i="17"/>
  <c r="W42" i="17"/>
  <c r="X42" i="17"/>
  <c r="Y42" i="17"/>
  <c r="Z42" i="17"/>
  <c r="AA42" i="17"/>
  <c r="AB42" i="17"/>
  <c r="AC42" i="17"/>
  <c r="AD42" i="17"/>
  <c r="W43" i="17"/>
  <c r="X43" i="17"/>
  <c r="Y43" i="17"/>
  <c r="Z43" i="17"/>
  <c r="AA43" i="17"/>
  <c r="AB43" i="17"/>
  <c r="AC43" i="17"/>
  <c r="AD43" i="17"/>
  <c r="W44" i="17"/>
  <c r="X44" i="17"/>
  <c r="Y44" i="17"/>
  <c r="Z44" i="17"/>
  <c r="AA44" i="17"/>
  <c r="AB44" i="17"/>
  <c r="AC44" i="17"/>
  <c r="AD44" i="17"/>
  <c r="AD13" i="17"/>
  <c r="AC13" i="17"/>
  <c r="AB13" i="17"/>
  <c r="AA13" i="17"/>
  <c r="Z13" i="17"/>
  <c r="Y13" i="17"/>
  <c r="X13" i="17"/>
  <c r="W13" i="17"/>
  <c r="D57" i="17"/>
  <c r="D58" i="17"/>
  <c r="A57" i="17"/>
  <c r="C155" i="21" s="1"/>
  <c r="A58" i="17"/>
  <c r="C156" i="21" s="1"/>
  <c r="D49" i="17"/>
  <c r="A49" i="17"/>
  <c r="C147" i="21" s="1"/>
  <c r="E16" i="17"/>
  <c r="J114" i="21" s="1"/>
  <c r="E17" i="17"/>
  <c r="J115" i="21" s="1"/>
  <c r="E18" i="17"/>
  <c r="J116" i="21" s="1"/>
  <c r="E19" i="17"/>
  <c r="J117" i="21" s="1"/>
  <c r="E20" i="17"/>
  <c r="J118" i="21" s="1"/>
  <c r="E21" i="17"/>
  <c r="J119" i="21" s="1"/>
  <c r="E22" i="17"/>
  <c r="J120" i="21" s="1"/>
  <c r="E23" i="17"/>
  <c r="J121" i="21" s="1"/>
  <c r="E24" i="17"/>
  <c r="J122" i="21" s="1"/>
  <c r="E25" i="17"/>
  <c r="J123" i="21" s="1"/>
  <c r="E26" i="17"/>
  <c r="J124" i="21" s="1"/>
  <c r="E27" i="17"/>
  <c r="J125" i="21" s="1"/>
  <c r="E28" i="17"/>
  <c r="J126" i="21" s="1"/>
  <c r="E29" i="17"/>
  <c r="J127" i="21" s="1"/>
  <c r="D16" i="17"/>
  <c r="D17" i="17"/>
  <c r="D18" i="17"/>
  <c r="D19" i="17"/>
  <c r="D20" i="17"/>
  <c r="D21" i="17"/>
  <c r="D22" i="17"/>
  <c r="D23" i="17"/>
  <c r="D24" i="17"/>
  <c r="D25" i="17"/>
  <c r="D26" i="17"/>
  <c r="D27" i="17"/>
  <c r="D28" i="17"/>
  <c r="D29" i="17"/>
  <c r="A16" i="17"/>
  <c r="C114" i="21" s="1"/>
  <c r="A17" i="17"/>
  <c r="C115" i="21" s="1"/>
  <c r="A18" i="17"/>
  <c r="C116" i="21" s="1"/>
  <c r="A19" i="17"/>
  <c r="C117" i="21" s="1"/>
  <c r="A20" i="17"/>
  <c r="C118" i="21" s="1"/>
  <c r="A21" i="17"/>
  <c r="C119" i="21" s="1"/>
  <c r="A22" i="17"/>
  <c r="C120" i="21" s="1"/>
  <c r="A23" i="17"/>
  <c r="C121" i="21" s="1"/>
  <c r="A24" i="17"/>
  <c r="C122" i="21" s="1"/>
  <c r="A25" i="17"/>
  <c r="C123" i="21" s="1"/>
  <c r="A26" i="17"/>
  <c r="C124" i="21" s="1"/>
  <c r="A27" i="17"/>
  <c r="C125" i="21" s="1"/>
  <c r="A28" i="17"/>
  <c r="C126" i="21" s="1"/>
  <c r="A29" i="17"/>
  <c r="C127" i="21" s="1"/>
  <c r="E57" i="16"/>
  <c r="E58" i="16"/>
  <c r="D57" i="16"/>
  <c r="L57" i="17" s="1"/>
  <c r="D58" i="16"/>
  <c r="L58" i="17" s="1"/>
  <c r="AG58" i="17" s="1"/>
  <c r="C57" i="16"/>
  <c r="J105" i="21" s="1"/>
  <c r="C58" i="16"/>
  <c r="J106" i="21" s="1"/>
  <c r="B57" i="16"/>
  <c r="B58" i="16"/>
  <c r="A57" i="16"/>
  <c r="C105" i="21" s="1"/>
  <c r="A58" i="16"/>
  <c r="C106" i="21" s="1"/>
  <c r="A49" i="16"/>
  <c r="C97" i="21" s="1"/>
  <c r="C49" i="16"/>
  <c r="D49" i="16"/>
  <c r="L49" i="17" s="1"/>
  <c r="E49" i="16"/>
  <c r="B49" i="16"/>
  <c r="E16" i="16"/>
  <c r="E17" i="16"/>
  <c r="E18" i="16"/>
  <c r="E19" i="16"/>
  <c r="E20" i="16"/>
  <c r="E21" i="16"/>
  <c r="E22" i="16"/>
  <c r="E23" i="16"/>
  <c r="E24" i="16"/>
  <c r="E25" i="16"/>
  <c r="E26" i="16"/>
  <c r="E27" i="16"/>
  <c r="E28" i="16"/>
  <c r="E29" i="16"/>
  <c r="D16" i="16"/>
  <c r="L16" i="17" s="1"/>
  <c r="D17" i="16"/>
  <c r="L17" i="17" s="1"/>
  <c r="D18" i="16"/>
  <c r="L18" i="17" s="1"/>
  <c r="D19" i="16"/>
  <c r="L19" i="17" s="1"/>
  <c r="D20" i="16"/>
  <c r="L20" i="17" s="1"/>
  <c r="D21" i="16"/>
  <c r="L21" i="17" s="1"/>
  <c r="D22" i="16"/>
  <c r="L22" i="17" s="1"/>
  <c r="D23" i="16"/>
  <c r="L23" i="17" s="1"/>
  <c r="D24" i="16"/>
  <c r="L24" i="17" s="1"/>
  <c r="D25" i="16"/>
  <c r="L25" i="17" s="1"/>
  <c r="D26" i="16"/>
  <c r="L26" i="17" s="1"/>
  <c r="D27" i="16"/>
  <c r="L27" i="17" s="1"/>
  <c r="D28" i="16"/>
  <c r="L28" i="17" s="1"/>
  <c r="D29" i="16"/>
  <c r="L29" i="17" s="1"/>
  <c r="C16" i="16"/>
  <c r="J64" i="21" s="1"/>
  <c r="C17" i="16"/>
  <c r="J65" i="21" s="1"/>
  <c r="C18" i="16"/>
  <c r="J66" i="21" s="1"/>
  <c r="C19" i="16"/>
  <c r="J67" i="21" s="1"/>
  <c r="C20" i="16"/>
  <c r="C21" i="16"/>
  <c r="C22" i="16"/>
  <c r="J70" i="21" s="1"/>
  <c r="C23" i="16"/>
  <c r="J71" i="21" s="1"/>
  <c r="C24" i="16"/>
  <c r="J72" i="21" s="1"/>
  <c r="C25" i="16"/>
  <c r="J73" i="21" s="1"/>
  <c r="C26" i="16"/>
  <c r="J74" i="21" s="1"/>
  <c r="C27" i="16"/>
  <c r="J75" i="21" s="1"/>
  <c r="C28" i="16"/>
  <c r="C29" i="16"/>
  <c r="B16" i="16"/>
  <c r="B17" i="16"/>
  <c r="B18" i="16"/>
  <c r="B19" i="16"/>
  <c r="B20" i="16"/>
  <c r="B21" i="16"/>
  <c r="B22" i="16"/>
  <c r="B23" i="16"/>
  <c r="B24" i="16"/>
  <c r="B25" i="16"/>
  <c r="B26" i="16"/>
  <c r="B27" i="16"/>
  <c r="B28" i="16"/>
  <c r="B29" i="16"/>
  <c r="AG49" i="17" l="1"/>
  <c r="AG25" i="17"/>
  <c r="AG17" i="17"/>
  <c r="F25" i="16"/>
  <c r="G25" i="16" s="1"/>
  <c r="F24" i="16"/>
  <c r="G24" i="16" s="1"/>
  <c r="F23" i="16"/>
  <c r="G23" i="16" s="1"/>
  <c r="AG27" i="17"/>
  <c r="AG19" i="17"/>
  <c r="F18" i="16"/>
  <c r="G18" i="16" s="1"/>
  <c r="F58" i="16"/>
  <c r="AG26" i="17"/>
  <c r="AG18" i="17"/>
  <c r="F17" i="16"/>
  <c r="G17" i="16" s="1"/>
  <c r="F57" i="16"/>
  <c r="G57" i="16" s="1"/>
  <c r="F16" i="16"/>
  <c r="G16" i="16" s="1"/>
  <c r="AG24" i="17"/>
  <c r="AG16" i="17"/>
  <c r="F26" i="16"/>
  <c r="F49" i="16"/>
  <c r="G49" i="16" s="1"/>
  <c r="AG57" i="17"/>
  <c r="AG23" i="17"/>
  <c r="AG22" i="17"/>
  <c r="AG29" i="17"/>
  <c r="AG21" i="17"/>
  <c r="AG28" i="17"/>
  <c r="AG20" i="17"/>
  <c r="F28" i="16"/>
  <c r="G28" i="16" s="1"/>
  <c r="F20" i="16"/>
  <c r="F27" i="16"/>
  <c r="G27" i="16" s="1"/>
  <c r="F19" i="16"/>
  <c r="G19" i="16" s="1"/>
  <c r="F22" i="16"/>
  <c r="G22" i="16" s="1"/>
  <c r="F29" i="16"/>
  <c r="G29" i="16" s="1"/>
  <c r="F21" i="16"/>
  <c r="G21" i="16" s="1"/>
  <c r="G26" i="16"/>
  <c r="G58" i="16"/>
  <c r="J97" i="21"/>
  <c r="J77" i="21"/>
  <c r="J69" i="21"/>
  <c r="J76" i="21"/>
  <c r="G20" i="16"/>
  <c r="J68" i="21"/>
  <c r="F57" i="17" l="1"/>
  <c r="H57" i="17" s="1"/>
  <c r="F27" i="17"/>
  <c r="H27" i="17" s="1"/>
  <c r="I27" i="17" s="1"/>
  <c r="H125" i="21" s="1"/>
  <c r="F58" i="17"/>
  <c r="H58" i="17" s="1"/>
  <c r="F28" i="17"/>
  <c r="H28" i="17" s="1"/>
  <c r="I28" i="17" s="1"/>
  <c r="H76" i="21" s="1"/>
  <c r="F23" i="17"/>
  <c r="H23" i="17" s="1"/>
  <c r="I23" i="17" s="1"/>
  <c r="H71" i="21" s="1"/>
  <c r="F20" i="17"/>
  <c r="H20" i="17" s="1"/>
  <c r="I20" i="17" s="1"/>
  <c r="H68" i="21" s="1"/>
  <c r="F19" i="17"/>
  <c r="H19" i="17" s="1"/>
  <c r="I19" i="17" s="1"/>
  <c r="H117" i="21" s="1"/>
  <c r="F49" i="17"/>
  <c r="H49" i="17" s="1"/>
  <c r="F25" i="17"/>
  <c r="H25" i="17" s="1"/>
  <c r="I25" i="17" s="1"/>
  <c r="H123" i="21" s="1"/>
  <c r="F24" i="17"/>
  <c r="H24" i="17" s="1"/>
  <c r="I24" i="17" s="1"/>
  <c r="H72" i="21" s="1"/>
  <c r="F22" i="17"/>
  <c r="H22" i="17" s="1"/>
  <c r="I22" i="17" s="1"/>
  <c r="H70" i="21" s="1"/>
  <c r="F17" i="17"/>
  <c r="H17" i="17" s="1"/>
  <c r="I17" i="17" s="1"/>
  <c r="H65" i="21" s="1"/>
  <c r="H118" i="21" l="1"/>
  <c r="H121" i="21"/>
  <c r="H126" i="21"/>
  <c r="H122" i="21"/>
  <c r="H67" i="21"/>
  <c r="H120" i="21"/>
  <c r="H73" i="21"/>
  <c r="H75" i="21"/>
  <c r="H115" i="21"/>
  <c r="F16" i="17"/>
  <c r="H16" i="17" s="1"/>
  <c r="I16" i="17" s="1"/>
  <c r="F29" i="17"/>
  <c r="F18" i="17"/>
  <c r="H18" i="17" s="1"/>
  <c r="I18" i="17" s="1"/>
  <c r="F26" i="17"/>
  <c r="H26" i="17" s="1"/>
  <c r="I26" i="17" s="1"/>
  <c r="F21" i="17"/>
  <c r="H21" i="17" s="1"/>
  <c r="I21" i="17" s="1"/>
  <c r="H69" i="21" l="1"/>
  <c r="H119" i="21"/>
  <c r="H124" i="21"/>
  <c r="H74" i="21"/>
  <c r="H116" i="21"/>
  <c r="H66" i="21"/>
  <c r="H64" i="21"/>
  <c r="H114" i="21"/>
  <c r="H29" i="17"/>
  <c r="I29" i="17" s="1"/>
  <c r="H127" i="21" l="1"/>
  <c r="H77" i="21"/>
  <c r="A22" i="1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E87" i="11"/>
  <c r="E86" i="11"/>
  <c r="M29" i="17" s="1"/>
  <c r="E85" i="11"/>
  <c r="M28" i="17" s="1"/>
  <c r="E84" i="11"/>
  <c r="M27" i="17" s="1"/>
  <c r="E83" i="11"/>
  <c r="M26" i="17" s="1"/>
  <c r="E82" i="11"/>
  <c r="M25" i="17" s="1"/>
  <c r="E81" i="11"/>
  <c r="M24" i="17" s="1"/>
  <c r="E80" i="11"/>
  <c r="M23" i="17" s="1"/>
  <c r="E79" i="11"/>
  <c r="M22" i="17" s="1"/>
  <c r="E78" i="11"/>
  <c r="M21" i="17" s="1"/>
  <c r="E77" i="11"/>
  <c r="M20" i="17" s="1"/>
  <c r="E76" i="11"/>
  <c r="M19" i="17" s="1"/>
  <c r="E75" i="11"/>
  <c r="M18" i="17" s="1"/>
  <c r="E74" i="11"/>
  <c r="M17" i="17" s="1"/>
  <c r="E73" i="11"/>
  <c r="M16" i="17" s="1"/>
  <c r="E72" i="11"/>
  <c r="E71" i="11"/>
  <c r="E70" i="11"/>
  <c r="E115" i="11"/>
  <c r="M58" i="17" s="1"/>
  <c r="E114" i="11"/>
  <c r="M57" i="17" s="1"/>
  <c r="E113" i="11"/>
  <c r="E106" i="11"/>
  <c r="M49" i="17" s="1"/>
  <c r="E105" i="11"/>
  <c r="D114" i="11"/>
  <c r="D115" i="11"/>
  <c r="C114" i="11"/>
  <c r="C115" i="11"/>
  <c r="G115" i="12"/>
  <c r="E57" i="17" s="1"/>
  <c r="G116" i="12"/>
  <c r="E58" i="17" s="1"/>
  <c r="G107" i="12"/>
  <c r="E49" i="17" s="1"/>
  <c r="D106" i="11"/>
  <c r="C106" i="11"/>
  <c r="D101" i="11"/>
  <c r="C101" i="11"/>
  <c r="D73" i="11"/>
  <c r="D74" i="11"/>
  <c r="D75" i="11"/>
  <c r="D76" i="11"/>
  <c r="D77" i="11"/>
  <c r="D78" i="11"/>
  <c r="D79" i="11"/>
  <c r="D80" i="11"/>
  <c r="D81" i="11"/>
  <c r="D82" i="11"/>
  <c r="D83" i="11"/>
  <c r="D84" i="11"/>
  <c r="D85" i="11"/>
  <c r="D86" i="11"/>
  <c r="C73" i="11"/>
  <c r="C74" i="11"/>
  <c r="C75" i="11"/>
  <c r="C76" i="11"/>
  <c r="C77" i="11"/>
  <c r="C78" i="11"/>
  <c r="C79" i="11"/>
  <c r="C80" i="11"/>
  <c r="C81" i="11"/>
  <c r="C82" i="11"/>
  <c r="C83" i="11"/>
  <c r="C84" i="11"/>
  <c r="C85" i="11"/>
  <c r="C86" i="11"/>
  <c r="D65" i="12"/>
  <c r="D66" i="12"/>
  <c r="C65" i="12"/>
  <c r="C66" i="12"/>
  <c r="D57" i="12"/>
  <c r="C57" i="12"/>
  <c r="D97" i="21" s="1"/>
  <c r="I24" i="12"/>
  <c r="I25" i="12"/>
  <c r="I26" i="12"/>
  <c r="I27" i="12"/>
  <c r="I28" i="12"/>
  <c r="I29" i="12"/>
  <c r="I30" i="12"/>
  <c r="I31" i="12"/>
  <c r="I32" i="12"/>
  <c r="I33" i="12"/>
  <c r="I34" i="12"/>
  <c r="I35" i="12"/>
  <c r="I36" i="12"/>
  <c r="I37" i="12"/>
  <c r="D24" i="12"/>
  <c r="D25" i="12"/>
  <c r="D26" i="12"/>
  <c r="D27" i="12"/>
  <c r="D28" i="12"/>
  <c r="D29" i="12"/>
  <c r="D30" i="12"/>
  <c r="D31" i="12"/>
  <c r="D32" i="12"/>
  <c r="D33" i="12"/>
  <c r="D34" i="12"/>
  <c r="D35" i="12"/>
  <c r="D36" i="12"/>
  <c r="D37" i="12"/>
  <c r="C24" i="12"/>
  <c r="C25" i="12"/>
  <c r="C26" i="12"/>
  <c r="C27" i="12"/>
  <c r="C28" i="12"/>
  <c r="D68" i="21" s="1"/>
  <c r="C29" i="12"/>
  <c r="C30" i="12"/>
  <c r="C31" i="12"/>
  <c r="C32" i="12"/>
  <c r="C33" i="12"/>
  <c r="C34" i="12"/>
  <c r="C35" i="12"/>
  <c r="C36" i="12"/>
  <c r="D76" i="21" s="1"/>
  <c r="C37" i="12"/>
  <c r="B24" i="12"/>
  <c r="A16" i="16" s="1"/>
  <c r="C64" i="21" s="1"/>
  <c r="B25" i="12"/>
  <c r="A17" i="16" s="1"/>
  <c r="C65" i="21" s="1"/>
  <c r="B26" i="12"/>
  <c r="A18" i="16" s="1"/>
  <c r="C66" i="21" s="1"/>
  <c r="B27" i="12"/>
  <c r="A19" i="16" s="1"/>
  <c r="C67" i="21" s="1"/>
  <c r="B28" i="12"/>
  <c r="A20" i="16" s="1"/>
  <c r="C68" i="21" s="1"/>
  <c r="B29" i="12"/>
  <c r="A21" i="16" s="1"/>
  <c r="C69" i="21" s="1"/>
  <c r="B30" i="12"/>
  <c r="A22" i="16" s="1"/>
  <c r="C70" i="21" s="1"/>
  <c r="B31" i="12"/>
  <c r="A23" i="16" s="1"/>
  <c r="C71" i="21" s="1"/>
  <c r="B32" i="12"/>
  <c r="A24" i="16" s="1"/>
  <c r="C72" i="21" s="1"/>
  <c r="B33" i="12"/>
  <c r="A25" i="16" s="1"/>
  <c r="C73" i="21" s="1"/>
  <c r="B34" i="12"/>
  <c r="A26" i="16" s="1"/>
  <c r="C74" i="21" s="1"/>
  <c r="B35" i="12"/>
  <c r="A27" i="16" s="1"/>
  <c r="C75" i="21" s="1"/>
  <c r="B36" i="12"/>
  <c r="A28" i="16" s="1"/>
  <c r="C76" i="21" s="1"/>
  <c r="B37" i="12"/>
  <c r="A29" i="16" s="1"/>
  <c r="C77" i="21" s="1"/>
  <c r="E101" i="11"/>
  <c r="J156" i="21" l="1"/>
  <c r="I58" i="17"/>
  <c r="J155" i="21"/>
  <c r="I57" i="17"/>
  <c r="J147" i="21"/>
  <c r="I49" i="17"/>
  <c r="C80" i="12"/>
  <c r="B22" i="17" s="1"/>
  <c r="D120" i="21" s="1"/>
  <c r="D70" i="21"/>
  <c r="D78" i="12"/>
  <c r="C20" i="17" s="1"/>
  <c r="E118" i="21" s="1"/>
  <c r="E68" i="21"/>
  <c r="D77" i="12"/>
  <c r="C19" i="17" s="1"/>
  <c r="E117" i="21" s="1"/>
  <c r="E67" i="21"/>
  <c r="C76" i="12"/>
  <c r="B18" i="17" s="1"/>
  <c r="D116" i="21" s="1"/>
  <c r="D66" i="21"/>
  <c r="D82" i="12"/>
  <c r="C24" i="17" s="1"/>
  <c r="E122" i="21" s="1"/>
  <c r="E72" i="21"/>
  <c r="C83" i="12"/>
  <c r="B25" i="17" s="1"/>
  <c r="D123" i="21" s="1"/>
  <c r="D73" i="21"/>
  <c r="C75" i="12"/>
  <c r="B17" i="17" s="1"/>
  <c r="D115" i="21" s="1"/>
  <c r="D65" i="21"/>
  <c r="D81" i="12"/>
  <c r="C23" i="17" s="1"/>
  <c r="E121" i="21" s="1"/>
  <c r="E71" i="21"/>
  <c r="C116" i="12"/>
  <c r="B58" i="17" s="1"/>
  <c r="D156" i="21" s="1"/>
  <c r="D106" i="21"/>
  <c r="C86" i="12"/>
  <c r="B28" i="17" s="1"/>
  <c r="D126" i="21" s="1"/>
  <c r="C79" i="12"/>
  <c r="B21" i="17" s="1"/>
  <c r="D119" i="21" s="1"/>
  <c r="D69" i="21"/>
  <c r="D76" i="12"/>
  <c r="C18" i="17" s="1"/>
  <c r="E116" i="21" s="1"/>
  <c r="E66" i="21"/>
  <c r="C85" i="12"/>
  <c r="B27" i="17" s="1"/>
  <c r="D125" i="21" s="1"/>
  <c r="D75" i="21"/>
  <c r="D83" i="12"/>
  <c r="C25" i="17" s="1"/>
  <c r="E123" i="21" s="1"/>
  <c r="E73" i="21"/>
  <c r="C107" i="12"/>
  <c r="B49" i="17" s="1"/>
  <c r="D147" i="21" s="1"/>
  <c r="C84" i="12"/>
  <c r="B26" i="17" s="1"/>
  <c r="D124" i="21" s="1"/>
  <c r="D74" i="21"/>
  <c r="D74" i="12"/>
  <c r="C16" i="17" s="1"/>
  <c r="E114" i="21" s="1"/>
  <c r="E64" i="21"/>
  <c r="C82" i="12"/>
  <c r="B24" i="17" s="1"/>
  <c r="D122" i="21" s="1"/>
  <c r="D72" i="21"/>
  <c r="C74" i="12"/>
  <c r="B16" i="17" s="1"/>
  <c r="D114" i="21" s="1"/>
  <c r="D64" i="21"/>
  <c r="D80" i="12"/>
  <c r="C22" i="17" s="1"/>
  <c r="E120" i="21" s="1"/>
  <c r="E70" i="21"/>
  <c r="C115" i="12"/>
  <c r="B57" i="17" s="1"/>
  <c r="D155" i="21" s="1"/>
  <c r="D105" i="21"/>
  <c r="C78" i="12"/>
  <c r="B20" i="17" s="1"/>
  <c r="D118" i="21" s="1"/>
  <c r="D86" i="12"/>
  <c r="C28" i="17" s="1"/>
  <c r="E126" i="21" s="1"/>
  <c r="E76" i="21"/>
  <c r="D115" i="12"/>
  <c r="C57" i="17" s="1"/>
  <c r="E155" i="21" s="1"/>
  <c r="E105" i="21"/>
  <c r="C87" i="12"/>
  <c r="B29" i="17" s="1"/>
  <c r="D127" i="21" s="1"/>
  <c r="D77" i="21"/>
  <c r="D85" i="12"/>
  <c r="C27" i="17" s="1"/>
  <c r="E125" i="21" s="1"/>
  <c r="E75" i="21"/>
  <c r="D84" i="12"/>
  <c r="C26" i="17" s="1"/>
  <c r="E124" i="21" s="1"/>
  <c r="E74" i="21"/>
  <c r="C77" i="12"/>
  <c r="B19" i="17" s="1"/>
  <c r="D117" i="21" s="1"/>
  <c r="D67" i="21"/>
  <c r="D75" i="12"/>
  <c r="C17" i="17" s="1"/>
  <c r="E115" i="21" s="1"/>
  <c r="E65" i="21"/>
  <c r="D107" i="12"/>
  <c r="C49" i="17" s="1"/>
  <c r="E147" i="21" s="1"/>
  <c r="E97" i="21"/>
  <c r="C81" i="12"/>
  <c r="B23" i="17" s="1"/>
  <c r="D121" i="21" s="1"/>
  <c r="D71" i="21"/>
  <c r="D87" i="12"/>
  <c r="C29" i="17" s="1"/>
  <c r="E127" i="21" s="1"/>
  <c r="E77" i="21"/>
  <c r="D79" i="12"/>
  <c r="C21" i="17" s="1"/>
  <c r="E119" i="21" s="1"/>
  <c r="E69" i="21"/>
  <c r="D116" i="12"/>
  <c r="C58" i="17" s="1"/>
  <c r="E156" i="21" s="1"/>
  <c r="E106" i="21"/>
  <c r="E44" i="16"/>
  <c r="D44" i="16"/>
  <c r="L44" i="17" s="1"/>
  <c r="C44" i="16"/>
  <c r="J92" i="21" s="1"/>
  <c r="B44" i="16"/>
  <c r="I52" i="12"/>
  <c r="D52" i="12"/>
  <c r="E92" i="21" s="1"/>
  <c r="C52" i="12"/>
  <c r="D92" i="21" s="1"/>
  <c r="B52" i="12"/>
  <c r="A44" i="16" s="1"/>
  <c r="C92" i="21" s="1"/>
  <c r="AG44" i="17" l="1"/>
  <c r="H147" i="21"/>
  <c r="H97" i="21"/>
  <c r="I97" i="21" s="1"/>
  <c r="L97" i="21" s="1"/>
  <c r="H155" i="21"/>
  <c r="H105" i="21"/>
  <c r="I105" i="21" s="1"/>
  <c r="L105" i="21" s="1"/>
  <c r="H156" i="21"/>
  <c r="H106" i="21"/>
  <c r="I106" i="21" s="1"/>
  <c r="L106" i="21" s="1"/>
  <c r="F44" i="16"/>
  <c r="G44" i="16" s="1"/>
  <c r="E29" i="14"/>
  <c r="E30" i="14"/>
  <c r="E31" i="14"/>
  <c r="E32" i="14"/>
  <c r="E33" i="14"/>
  <c r="E34" i="14"/>
  <c r="E35" i="14"/>
  <c r="E36" i="14"/>
  <c r="E37" i="14"/>
  <c r="E154" i="12"/>
  <c r="M14" i="17" l="1"/>
  <c r="M15" i="17"/>
  <c r="M30" i="17"/>
  <c r="M37" i="17"/>
  <c r="M44" i="17"/>
  <c r="M48" i="17"/>
  <c r="M56" i="17"/>
  <c r="E43" i="17"/>
  <c r="J141" i="21" s="1"/>
  <c r="E44" i="17"/>
  <c r="J142" i="21" s="1"/>
  <c r="D14" i="17"/>
  <c r="D15" i="17"/>
  <c r="D30" i="17"/>
  <c r="D31" i="17"/>
  <c r="D32" i="17"/>
  <c r="D33" i="17"/>
  <c r="D34" i="17"/>
  <c r="D35" i="17"/>
  <c r="D36" i="17"/>
  <c r="D37" i="17"/>
  <c r="D38" i="17"/>
  <c r="D39" i="17"/>
  <c r="D40" i="17"/>
  <c r="D41" i="17"/>
  <c r="D42" i="17"/>
  <c r="D43" i="17"/>
  <c r="D44" i="17"/>
  <c r="D47" i="17"/>
  <c r="D48" i="17"/>
  <c r="D50" i="17"/>
  <c r="D51" i="17"/>
  <c r="D52" i="17"/>
  <c r="D53" i="17"/>
  <c r="D54" i="17"/>
  <c r="D55" i="17"/>
  <c r="D56" i="17"/>
  <c r="D59" i="17"/>
  <c r="C44" i="17"/>
  <c r="E142" i="21" s="1"/>
  <c r="B44" i="17"/>
  <c r="D142" i="21" s="1"/>
  <c r="A47" i="17"/>
  <c r="C145" i="21" s="1"/>
  <c r="A48" i="17"/>
  <c r="C146" i="21" s="1"/>
  <c r="A50" i="17"/>
  <c r="C148" i="21" s="1"/>
  <c r="A51" i="17"/>
  <c r="C149" i="21" s="1"/>
  <c r="A52" i="17"/>
  <c r="C150" i="21" s="1"/>
  <c r="A53" i="17"/>
  <c r="C151" i="21" s="1"/>
  <c r="A54" i="17"/>
  <c r="C152" i="21" s="1"/>
  <c r="A55" i="17"/>
  <c r="C153" i="21" s="1"/>
  <c r="A56" i="17"/>
  <c r="C154" i="21" s="1"/>
  <c r="A59" i="17"/>
  <c r="C157" i="21" s="1"/>
  <c r="A14" i="17"/>
  <c r="C112" i="21" s="1"/>
  <c r="A15" i="17"/>
  <c r="C113" i="21" s="1"/>
  <c r="A30" i="17"/>
  <c r="C128" i="21" s="1"/>
  <c r="A31" i="17"/>
  <c r="C129" i="21" s="1"/>
  <c r="A32" i="17"/>
  <c r="C130" i="21" s="1"/>
  <c r="A33" i="17"/>
  <c r="C131" i="21" s="1"/>
  <c r="A34" i="17"/>
  <c r="C132" i="21" s="1"/>
  <c r="A35" i="17"/>
  <c r="C133" i="21" s="1"/>
  <c r="A36" i="17"/>
  <c r="C134" i="21" s="1"/>
  <c r="A37" i="17"/>
  <c r="C135" i="21" s="1"/>
  <c r="A38" i="17"/>
  <c r="C136" i="21" s="1"/>
  <c r="A39" i="17"/>
  <c r="C137" i="21" s="1"/>
  <c r="A40" i="17"/>
  <c r="C138" i="21" s="1"/>
  <c r="A41" i="17"/>
  <c r="C139" i="21" s="1"/>
  <c r="A42" i="17"/>
  <c r="C140" i="21" s="1"/>
  <c r="A43" i="17"/>
  <c r="C141" i="21" s="1"/>
  <c r="A44" i="17"/>
  <c r="C142" i="21" s="1"/>
  <c r="E146" i="12"/>
  <c r="E28" i="14"/>
  <c r="G144" i="12" l="1"/>
  <c r="G13" i="14"/>
  <c r="I13" i="14" s="1"/>
  <c r="G14" i="14"/>
  <c r="G15" i="14"/>
  <c r="I15" i="14" s="1"/>
  <c r="G16" i="14"/>
  <c r="I16" i="14" s="1"/>
  <c r="G17" i="14"/>
  <c r="I17" i="14" s="1"/>
  <c r="G18" i="14"/>
  <c r="G19" i="14"/>
  <c r="G20" i="14"/>
  <c r="G21" i="14"/>
  <c r="J32" i="21" s="1"/>
  <c r="G12" i="14"/>
  <c r="D13" i="14"/>
  <c r="D14" i="14"/>
  <c r="D15" i="14"/>
  <c r="D16" i="14"/>
  <c r="D17" i="14"/>
  <c r="D18" i="14"/>
  <c r="D19" i="14"/>
  <c r="D20" i="14"/>
  <c r="D21" i="14"/>
  <c r="D28" i="14"/>
  <c r="D29" i="14"/>
  <c r="D30" i="14"/>
  <c r="D31" i="14"/>
  <c r="D32" i="14"/>
  <c r="D33" i="14"/>
  <c r="D34" i="14"/>
  <c r="D35" i="14"/>
  <c r="D36" i="14"/>
  <c r="D37" i="14"/>
  <c r="B16" i="14"/>
  <c r="A29" i="14"/>
  <c r="C35" i="21" s="1"/>
  <c r="A30" i="14"/>
  <c r="C36" i="21" s="1"/>
  <c r="A31" i="14"/>
  <c r="C37" i="21" s="1"/>
  <c r="A32" i="14"/>
  <c r="C38" i="21" s="1"/>
  <c r="A33" i="14"/>
  <c r="C39" i="21" s="1"/>
  <c r="A34" i="14"/>
  <c r="C40" i="21" s="1"/>
  <c r="A35" i="14"/>
  <c r="C41" i="21" s="1"/>
  <c r="A36" i="14"/>
  <c r="C42" i="21" s="1"/>
  <c r="A37" i="14"/>
  <c r="C43" i="21" s="1"/>
  <c r="A28" i="14"/>
  <c r="C34" i="21" s="1"/>
  <c r="A13" i="14"/>
  <c r="A14" i="14"/>
  <c r="A15" i="14"/>
  <c r="A16" i="14"/>
  <c r="A17" i="14"/>
  <c r="A18" i="14"/>
  <c r="A19" i="14"/>
  <c r="A20" i="14"/>
  <c r="A21" i="14"/>
  <c r="C32" i="21" s="1"/>
  <c r="E147" i="12"/>
  <c r="G29" i="14" s="1"/>
  <c r="J35" i="21" s="1"/>
  <c r="E148" i="12"/>
  <c r="G30" i="14" s="1"/>
  <c r="E149" i="12"/>
  <c r="G31" i="14" s="1"/>
  <c r="E150" i="12"/>
  <c r="G32" i="14" s="1"/>
  <c r="E151" i="12"/>
  <c r="G33" i="14" s="1"/>
  <c r="E152" i="12"/>
  <c r="G34" i="14" s="1"/>
  <c r="E153" i="12"/>
  <c r="G35" i="14" s="1"/>
  <c r="G36" i="14"/>
  <c r="E155" i="12"/>
  <c r="G37" i="14" s="1"/>
  <c r="J43" i="21" s="1"/>
  <c r="G28" i="14"/>
  <c r="I28" i="14" s="1"/>
  <c r="D146" i="12"/>
  <c r="C28" i="14" s="1"/>
  <c r="D147" i="12"/>
  <c r="C29" i="14" s="1"/>
  <c r="D148" i="12"/>
  <c r="C30" i="14" s="1"/>
  <c r="D149" i="12"/>
  <c r="C31" i="14" s="1"/>
  <c r="D150" i="12"/>
  <c r="C32" i="14" s="1"/>
  <c r="D151" i="12"/>
  <c r="C33" i="14" s="1"/>
  <c r="D152" i="12"/>
  <c r="C34" i="14" s="1"/>
  <c r="D153" i="12"/>
  <c r="C35" i="14" s="1"/>
  <c r="D154" i="12"/>
  <c r="C36" i="14" s="1"/>
  <c r="D155" i="12"/>
  <c r="C37" i="14" s="1"/>
  <c r="C147" i="12"/>
  <c r="B29" i="14" s="1"/>
  <c r="D35" i="21" s="1"/>
  <c r="C148" i="12"/>
  <c r="B30" i="14" s="1"/>
  <c r="D36" i="21" s="1"/>
  <c r="C149" i="12"/>
  <c r="B31" i="14" s="1"/>
  <c r="D37" i="21" s="1"/>
  <c r="C150" i="12"/>
  <c r="B32" i="14" s="1"/>
  <c r="D38" i="21" s="1"/>
  <c r="C151" i="12"/>
  <c r="B33" i="14" s="1"/>
  <c r="D39" i="21" s="1"/>
  <c r="C152" i="12"/>
  <c r="B34" i="14" s="1"/>
  <c r="D40" i="21" s="1"/>
  <c r="C153" i="12"/>
  <c r="B35" i="14" s="1"/>
  <c r="D41" i="21" s="1"/>
  <c r="C154" i="12"/>
  <c r="B36" i="14" s="1"/>
  <c r="D42" i="21" s="1"/>
  <c r="C155" i="12"/>
  <c r="B37" i="14" s="1"/>
  <c r="D43" i="21" s="1"/>
  <c r="D143" i="12"/>
  <c r="C21" i="14" s="1"/>
  <c r="C143" i="12"/>
  <c r="B21" i="14" s="1"/>
  <c r="D32" i="21" s="1"/>
  <c r="D142" i="12"/>
  <c r="C20" i="14" s="1"/>
  <c r="D141" i="12"/>
  <c r="C19" i="14" s="1"/>
  <c r="C142" i="12"/>
  <c r="B20" i="14" s="1"/>
  <c r="D140" i="12"/>
  <c r="C18" i="14" s="1"/>
  <c r="D139" i="12"/>
  <c r="C17" i="14" s="1"/>
  <c r="D138" i="12"/>
  <c r="C16" i="14" s="1"/>
  <c r="D134" i="12"/>
  <c r="C12" i="14" s="1"/>
  <c r="D135" i="12"/>
  <c r="C13" i="14" s="1"/>
  <c r="D137" i="12"/>
  <c r="C15" i="14" s="1"/>
  <c r="D136" i="12"/>
  <c r="C14" i="14" s="1"/>
  <c r="C134" i="12"/>
  <c r="B12" i="14" s="1"/>
  <c r="I51" i="12"/>
  <c r="E157" i="12" l="1"/>
  <c r="I35" i="14"/>
  <c r="H41" i="21" s="1"/>
  <c r="J41" i="21"/>
  <c r="I33" i="14"/>
  <c r="H39" i="21" s="1"/>
  <c r="J39" i="21"/>
  <c r="I36" i="14"/>
  <c r="H42" i="21" s="1"/>
  <c r="J42" i="21"/>
  <c r="H34" i="21"/>
  <c r="J34" i="21"/>
  <c r="I32" i="14"/>
  <c r="H38" i="21" s="1"/>
  <c r="J38" i="21"/>
  <c r="J37" i="21"/>
  <c r="I34" i="14"/>
  <c r="H40" i="21" s="1"/>
  <c r="J40" i="21"/>
  <c r="J36" i="21"/>
  <c r="I37" i="14"/>
  <c r="H43" i="21" s="1"/>
  <c r="I29" i="14"/>
  <c r="H35" i="21" s="1"/>
  <c r="I31" i="14"/>
  <c r="H37" i="21" s="1"/>
  <c r="I30" i="14"/>
  <c r="H36" i="21" s="1"/>
  <c r="I19" i="14"/>
  <c r="I18" i="14"/>
  <c r="I21" i="14"/>
  <c r="H32" i="21" s="1"/>
  <c r="I14" i="14"/>
  <c r="I20" i="14"/>
  <c r="D14" i="16"/>
  <c r="L14" i="17" s="1"/>
  <c r="E14" i="16"/>
  <c r="D15" i="16"/>
  <c r="E15" i="16"/>
  <c r="D30" i="16"/>
  <c r="L30" i="17" s="1"/>
  <c r="E30" i="16"/>
  <c r="D31" i="16"/>
  <c r="L31" i="17" s="1"/>
  <c r="E31" i="16"/>
  <c r="D32" i="16"/>
  <c r="L32" i="17" s="1"/>
  <c r="E32" i="16"/>
  <c r="D33" i="16"/>
  <c r="L33" i="17" s="1"/>
  <c r="E33" i="16"/>
  <c r="D34" i="16"/>
  <c r="L34" i="17" s="1"/>
  <c r="E34" i="16"/>
  <c r="D35" i="16"/>
  <c r="L35" i="17" s="1"/>
  <c r="E35" i="16"/>
  <c r="D36" i="16"/>
  <c r="L36" i="17" s="1"/>
  <c r="E36" i="16"/>
  <c r="D37" i="16"/>
  <c r="L37" i="17" s="1"/>
  <c r="E37" i="16"/>
  <c r="D38" i="16"/>
  <c r="L38" i="17" s="1"/>
  <c r="E38" i="16"/>
  <c r="D39" i="16"/>
  <c r="L39" i="17" s="1"/>
  <c r="E39" i="16"/>
  <c r="D40" i="16"/>
  <c r="L40" i="17" s="1"/>
  <c r="E40" i="16"/>
  <c r="D41" i="16"/>
  <c r="L41" i="17" s="1"/>
  <c r="E41" i="16"/>
  <c r="D42" i="16"/>
  <c r="L42" i="17" s="1"/>
  <c r="E42" i="16"/>
  <c r="D43" i="16"/>
  <c r="L43" i="17" s="1"/>
  <c r="E43" i="16"/>
  <c r="D47" i="16"/>
  <c r="L47" i="17" s="1"/>
  <c r="E47" i="16"/>
  <c r="D48" i="16"/>
  <c r="L48" i="17" s="1"/>
  <c r="E48" i="16"/>
  <c r="D50" i="16"/>
  <c r="L50" i="17" s="1"/>
  <c r="E50" i="16"/>
  <c r="D51" i="16"/>
  <c r="L51" i="17" s="1"/>
  <c r="E51" i="16"/>
  <c r="D52" i="16"/>
  <c r="L52" i="17" s="1"/>
  <c r="E52" i="16"/>
  <c r="D53" i="16"/>
  <c r="L53" i="17" s="1"/>
  <c r="E53" i="16"/>
  <c r="D54" i="16"/>
  <c r="L54" i="17" s="1"/>
  <c r="E54" i="16"/>
  <c r="D55" i="16"/>
  <c r="L55" i="17" s="1"/>
  <c r="E55" i="16"/>
  <c r="D56" i="16"/>
  <c r="L56" i="17" s="1"/>
  <c r="E56" i="16"/>
  <c r="D59" i="16"/>
  <c r="L59" i="17" s="1"/>
  <c r="E59" i="16"/>
  <c r="A48" i="16"/>
  <c r="C96" i="21" s="1"/>
  <c r="B48" i="16"/>
  <c r="C48" i="16"/>
  <c r="J96" i="21" s="1"/>
  <c r="A50" i="16"/>
  <c r="C98" i="21" s="1"/>
  <c r="B50" i="16"/>
  <c r="C50" i="16"/>
  <c r="J98" i="21" s="1"/>
  <c r="A51" i="16"/>
  <c r="C99" i="21" s="1"/>
  <c r="B51" i="16"/>
  <c r="C51" i="16"/>
  <c r="J99" i="21" s="1"/>
  <c r="A52" i="16"/>
  <c r="C100" i="21" s="1"/>
  <c r="B52" i="16"/>
  <c r="C52" i="16"/>
  <c r="J100" i="21" s="1"/>
  <c r="A53" i="16"/>
  <c r="C101" i="21" s="1"/>
  <c r="B53" i="16"/>
  <c r="C53" i="16"/>
  <c r="J101" i="21" s="1"/>
  <c r="A54" i="16"/>
  <c r="C102" i="21" s="1"/>
  <c r="B54" i="16"/>
  <c r="C54" i="16"/>
  <c r="J102" i="21" s="1"/>
  <c r="A55" i="16"/>
  <c r="C103" i="21" s="1"/>
  <c r="B55" i="16"/>
  <c r="C55" i="16"/>
  <c r="J103" i="21" s="1"/>
  <c r="A56" i="16"/>
  <c r="C104" i="21" s="1"/>
  <c r="B56" i="16"/>
  <c r="C56" i="16"/>
  <c r="A59" i="16"/>
  <c r="C107" i="21" s="1"/>
  <c r="B59" i="16"/>
  <c r="C59" i="16"/>
  <c r="J107" i="21" s="1"/>
  <c r="A47" i="16"/>
  <c r="C95" i="21" s="1"/>
  <c r="B47" i="16"/>
  <c r="C47" i="16"/>
  <c r="B14" i="16"/>
  <c r="C14" i="16"/>
  <c r="J62" i="21" s="1"/>
  <c r="B15" i="16"/>
  <c r="C15" i="16"/>
  <c r="J63" i="21" s="1"/>
  <c r="B30" i="16"/>
  <c r="C30" i="16"/>
  <c r="J78" i="21" s="1"/>
  <c r="B31" i="16"/>
  <c r="C31" i="16"/>
  <c r="J79" i="21" s="1"/>
  <c r="B32" i="16"/>
  <c r="C32" i="16"/>
  <c r="J80" i="21" s="1"/>
  <c r="B33" i="16"/>
  <c r="C33" i="16"/>
  <c r="J81" i="21" s="1"/>
  <c r="B34" i="16"/>
  <c r="C34" i="16"/>
  <c r="J82" i="21" s="1"/>
  <c r="B35" i="16"/>
  <c r="C35" i="16"/>
  <c r="J83" i="21" s="1"/>
  <c r="B36" i="16"/>
  <c r="C36" i="16"/>
  <c r="J84" i="21" s="1"/>
  <c r="B37" i="16"/>
  <c r="C37" i="16"/>
  <c r="J85" i="21" s="1"/>
  <c r="B38" i="16"/>
  <c r="C38" i="16"/>
  <c r="J86" i="21" s="1"/>
  <c r="B39" i="16"/>
  <c r="C39" i="16"/>
  <c r="B40" i="16"/>
  <c r="C40" i="16"/>
  <c r="J88" i="21" s="1"/>
  <c r="B41" i="16"/>
  <c r="C41" i="16"/>
  <c r="J89" i="21" s="1"/>
  <c r="B42" i="16"/>
  <c r="C42" i="16"/>
  <c r="J90" i="21" s="1"/>
  <c r="B43" i="16"/>
  <c r="C43" i="16"/>
  <c r="J91" i="21" s="1"/>
  <c r="E19" i="13"/>
  <c r="G19" i="13" s="1"/>
  <c r="E18" i="13"/>
  <c r="G18" i="13" s="1"/>
  <c r="E17" i="13"/>
  <c r="G17" i="13" s="1"/>
  <c r="E16" i="13"/>
  <c r="G16" i="13" s="1"/>
  <c r="E15" i="13"/>
  <c r="G15" i="13" s="1"/>
  <c r="E14" i="13"/>
  <c r="G14" i="13" s="1"/>
  <c r="E13" i="13"/>
  <c r="G13" i="13" s="1"/>
  <c r="E12" i="13"/>
  <c r="G12" i="13" s="1"/>
  <c r="H11" i="21" s="1"/>
  <c r="AG55" i="17" l="1"/>
  <c r="F55" i="17" s="1"/>
  <c r="H55" i="17" s="1"/>
  <c r="AG51" i="17"/>
  <c r="F51" i="17" s="1"/>
  <c r="H51" i="17" s="1"/>
  <c r="AG43" i="17"/>
  <c r="AG39" i="17"/>
  <c r="AG31" i="17"/>
  <c r="AG59" i="17"/>
  <c r="F59" i="17" s="1"/>
  <c r="H59" i="17" s="1"/>
  <c r="AG53" i="17"/>
  <c r="F53" i="17" s="1"/>
  <c r="H53" i="17" s="1"/>
  <c r="AG48" i="17"/>
  <c r="F48" i="17" s="1"/>
  <c r="H48" i="17" s="1"/>
  <c r="AG42" i="17"/>
  <c r="AG38" i="17"/>
  <c r="AG34" i="17"/>
  <c r="AG30" i="17"/>
  <c r="AG56" i="17"/>
  <c r="F56" i="17" s="1"/>
  <c r="H56" i="17" s="1"/>
  <c r="AG52" i="17"/>
  <c r="F52" i="17" s="1"/>
  <c r="H52" i="17" s="1"/>
  <c r="F47" i="16"/>
  <c r="G47" i="16" s="1"/>
  <c r="AG41" i="17"/>
  <c r="AG37" i="17"/>
  <c r="AG33" i="17"/>
  <c r="F33" i="17" s="1"/>
  <c r="H33" i="17" s="1"/>
  <c r="AG47" i="17"/>
  <c r="F47" i="17" s="1"/>
  <c r="H47" i="17" s="1"/>
  <c r="AG54" i="17"/>
  <c r="F54" i="17" s="1"/>
  <c r="H54" i="17" s="1"/>
  <c r="AG50" i="17"/>
  <c r="F50" i="17" s="1"/>
  <c r="H50" i="17" s="1"/>
  <c r="AG40" i="17"/>
  <c r="AG36" i="17"/>
  <c r="AG32" i="17"/>
  <c r="F54" i="16"/>
  <c r="G54" i="16" s="1"/>
  <c r="F39" i="16"/>
  <c r="G39" i="16" s="1"/>
  <c r="F37" i="16"/>
  <c r="F56" i="16"/>
  <c r="G56" i="16" s="1"/>
  <c r="F52" i="16"/>
  <c r="G52" i="16" s="1"/>
  <c r="F50" i="16"/>
  <c r="G50" i="16" s="1"/>
  <c r="F41" i="16"/>
  <c r="G41" i="16" s="1"/>
  <c r="F35" i="16"/>
  <c r="G35" i="16" s="1"/>
  <c r="AG35" i="17"/>
  <c r="F32" i="16"/>
  <c r="G32" i="16" s="1"/>
  <c r="AG14" i="17"/>
  <c r="F14" i="17" s="1"/>
  <c r="F15" i="16"/>
  <c r="G15" i="16" s="1"/>
  <c r="L15" i="17"/>
  <c r="AG15" i="17" s="1"/>
  <c r="F15" i="17" s="1"/>
  <c r="J87" i="21"/>
  <c r="J95" i="21"/>
  <c r="J104" i="21"/>
  <c r="F44" i="17"/>
  <c r="H44" i="17" s="1"/>
  <c r="I44" i="17" s="1"/>
  <c r="G37" i="16"/>
  <c r="F59" i="16"/>
  <c r="G59" i="16" s="1"/>
  <c r="F55" i="16"/>
  <c r="G55" i="16" s="1"/>
  <c r="F53" i="16"/>
  <c r="G53" i="16" s="1"/>
  <c r="F51" i="16"/>
  <c r="G51" i="16" s="1"/>
  <c r="F48" i="16"/>
  <c r="G48" i="16" s="1"/>
  <c r="F43" i="16"/>
  <c r="G43" i="16" s="1"/>
  <c r="F38" i="16"/>
  <c r="G38" i="16" s="1"/>
  <c r="F40" i="16"/>
  <c r="G40" i="16" s="1"/>
  <c r="F42" i="16"/>
  <c r="G42" i="16" s="1"/>
  <c r="F36" i="16"/>
  <c r="G36" i="16" s="1"/>
  <c r="F31" i="16"/>
  <c r="G31" i="16" s="1"/>
  <c r="F34" i="16"/>
  <c r="G34" i="16" s="1"/>
  <c r="F33" i="16"/>
  <c r="G33" i="16" s="1"/>
  <c r="F30" i="16"/>
  <c r="G30" i="16" s="1"/>
  <c r="F14" i="16"/>
  <c r="G14" i="16" s="1"/>
  <c r="H92" i="21" l="1"/>
  <c r="H142" i="21"/>
  <c r="E100" i="11"/>
  <c r="M43" i="17" s="1"/>
  <c r="N43" i="17" s="1"/>
  <c r="D100" i="11"/>
  <c r="C100" i="11"/>
  <c r="D51" i="12"/>
  <c r="C51" i="12"/>
  <c r="B51" i="12"/>
  <c r="A43" i="16" s="1"/>
  <c r="C91" i="21" s="1"/>
  <c r="C105" i="11"/>
  <c r="C107" i="11"/>
  <c r="C108" i="11"/>
  <c r="C109" i="11"/>
  <c r="C110" i="11"/>
  <c r="C111" i="11"/>
  <c r="C112" i="11"/>
  <c r="C113" i="11"/>
  <c r="C116" i="11"/>
  <c r="D97" i="11"/>
  <c r="D98" i="11"/>
  <c r="D99" i="11"/>
  <c r="C97" i="11"/>
  <c r="C98" i="11"/>
  <c r="C99" i="11"/>
  <c r="AF43" i="17" l="1"/>
  <c r="AE43" i="17"/>
  <c r="D101" i="12"/>
  <c r="C43" i="17" s="1"/>
  <c r="E141" i="21" s="1"/>
  <c r="E91" i="21"/>
  <c r="C101" i="12"/>
  <c r="B43" i="17" s="1"/>
  <c r="D141" i="21" s="1"/>
  <c r="D91" i="21"/>
  <c r="D49" i="12"/>
  <c r="D50" i="12"/>
  <c r="C49" i="12"/>
  <c r="C50" i="12"/>
  <c r="B49" i="12"/>
  <c r="A41" i="16" s="1"/>
  <c r="C89" i="21" s="1"/>
  <c r="B50" i="12"/>
  <c r="A42" i="16" s="1"/>
  <c r="C90" i="21" s="1"/>
  <c r="F43" i="17" l="1"/>
  <c r="H43" i="17" s="1"/>
  <c r="I43" i="17" s="1"/>
  <c r="H91" i="21" s="1"/>
  <c r="D99" i="12"/>
  <c r="C41" i="17" s="1"/>
  <c r="E139" i="21" s="1"/>
  <c r="E89" i="21"/>
  <c r="C100" i="12"/>
  <c r="B42" i="17" s="1"/>
  <c r="D140" i="21" s="1"/>
  <c r="D90" i="21"/>
  <c r="C99" i="12"/>
  <c r="B41" i="17" s="1"/>
  <c r="D139" i="21" s="1"/>
  <c r="D89" i="21"/>
  <c r="D100" i="12"/>
  <c r="C42" i="17" s="1"/>
  <c r="E140" i="21" s="1"/>
  <c r="E90" i="21"/>
  <c r="E99" i="11"/>
  <c r="M42" i="17" s="1"/>
  <c r="E98" i="11"/>
  <c r="M41" i="17" s="1"/>
  <c r="G99" i="12"/>
  <c r="E41" i="17" s="1"/>
  <c r="J139" i="21" s="1"/>
  <c r="G100" i="12"/>
  <c r="E42" i="17" s="1"/>
  <c r="J140" i="21" s="1"/>
  <c r="I50" i="12"/>
  <c r="I49" i="12"/>
  <c r="E112" i="11"/>
  <c r="M55" i="17" s="1"/>
  <c r="H141" i="21" l="1"/>
  <c r="I141" i="21" s="1"/>
  <c r="E111" i="11"/>
  <c r="M54" i="17" s="1"/>
  <c r="E110" i="11"/>
  <c r="M53" i="17" s="1"/>
  <c r="E109" i="11"/>
  <c r="M52" i="17" s="1"/>
  <c r="E108" i="11"/>
  <c r="M51" i="17" s="1"/>
  <c r="E107" i="11"/>
  <c r="M50" i="17" s="1"/>
  <c r="E116" i="11"/>
  <c r="M59" i="17" s="1"/>
  <c r="E90" i="11"/>
  <c r="M33" i="17" s="1"/>
  <c r="E13" i="16"/>
  <c r="D13" i="16"/>
  <c r="L13" i="17" l="1"/>
  <c r="F13" i="16"/>
  <c r="H106" i="12"/>
  <c r="H108" i="12" s="1"/>
  <c r="H109" i="12" s="1"/>
  <c r="H110" i="12" s="1"/>
  <c r="H111" i="12" s="1"/>
  <c r="H112" i="12" s="1"/>
  <c r="H113" i="12" s="1"/>
  <c r="H114" i="12" s="1"/>
  <c r="H117" i="12" s="1"/>
  <c r="G106" i="12"/>
  <c r="E48" i="17" s="1"/>
  <c r="G108" i="12"/>
  <c r="E50" i="17" s="1"/>
  <c r="G109" i="12"/>
  <c r="E51" i="17" s="1"/>
  <c r="G110" i="12"/>
  <c r="E52" i="17" s="1"/>
  <c r="G111" i="12"/>
  <c r="E53" i="17" s="1"/>
  <c r="G112" i="12"/>
  <c r="E54" i="17" s="1"/>
  <c r="G113" i="12"/>
  <c r="E55" i="17" s="1"/>
  <c r="G114" i="12"/>
  <c r="E56" i="17" s="1"/>
  <c r="G117" i="12"/>
  <c r="G105" i="12"/>
  <c r="H72" i="12"/>
  <c r="H73" i="12" s="1"/>
  <c r="G91" i="12"/>
  <c r="E33" i="17" s="1"/>
  <c r="G92" i="12"/>
  <c r="E34" i="17" s="1"/>
  <c r="J132" i="21" s="1"/>
  <c r="G93" i="12"/>
  <c r="E35" i="17" s="1"/>
  <c r="J133" i="21" s="1"/>
  <c r="G94" i="12"/>
  <c r="E36" i="17" s="1"/>
  <c r="J134" i="21" s="1"/>
  <c r="G95" i="12"/>
  <c r="E37" i="17" s="1"/>
  <c r="J135" i="21" s="1"/>
  <c r="G96" i="12"/>
  <c r="E38" i="17" s="1"/>
  <c r="J136" i="21" s="1"/>
  <c r="G97" i="12"/>
  <c r="E39" i="17" s="1"/>
  <c r="J137" i="21" s="1"/>
  <c r="G98" i="12"/>
  <c r="E40" i="17" s="1"/>
  <c r="J138" i="21" s="1"/>
  <c r="E47" i="17" l="1"/>
  <c r="J145" i="21" s="1"/>
  <c r="E59" i="17"/>
  <c r="I59" i="17" s="1"/>
  <c r="I117" i="12"/>
  <c r="J152" i="21"/>
  <c r="I54" i="17"/>
  <c r="J151" i="21"/>
  <c r="I53" i="17"/>
  <c r="I33" i="17"/>
  <c r="J131" i="21"/>
  <c r="J150" i="21"/>
  <c r="I52" i="17"/>
  <c r="J149" i="21"/>
  <c r="I51" i="17"/>
  <c r="J148" i="21"/>
  <c r="I50" i="17"/>
  <c r="J146" i="21"/>
  <c r="I48" i="17"/>
  <c r="J154" i="21"/>
  <c r="I56" i="17"/>
  <c r="J153" i="21"/>
  <c r="I55" i="17"/>
  <c r="H88" i="12"/>
  <c r="H89" i="12" s="1"/>
  <c r="H90" i="12" s="1"/>
  <c r="H91" i="12" s="1"/>
  <c r="H92" i="12" s="1"/>
  <c r="H93" i="12" s="1"/>
  <c r="H94" i="12" s="1"/>
  <c r="H74" i="12"/>
  <c r="E104" i="11"/>
  <c r="M47" i="17" s="1"/>
  <c r="H64" i="12"/>
  <c r="H67" i="12"/>
  <c r="H68" i="12"/>
  <c r="H58" i="12"/>
  <c r="H59" i="12"/>
  <c r="H60" i="12"/>
  <c r="H61" i="12"/>
  <c r="H62" i="12"/>
  <c r="H63" i="12"/>
  <c r="H56" i="12"/>
  <c r="E97" i="11"/>
  <c r="M40" i="17" s="1"/>
  <c r="E96" i="11"/>
  <c r="M39" i="17" s="1"/>
  <c r="E95" i="11"/>
  <c r="M38" i="17" s="1"/>
  <c r="E93" i="11"/>
  <c r="M36" i="17" s="1"/>
  <c r="E92" i="11"/>
  <c r="M35" i="17" s="1"/>
  <c r="E91" i="11"/>
  <c r="M34" i="17" s="1"/>
  <c r="E89" i="11"/>
  <c r="M32" i="17" s="1"/>
  <c r="E88" i="11"/>
  <c r="M31" i="17" s="1"/>
  <c r="C70" i="11"/>
  <c r="D89" i="11"/>
  <c r="D90" i="11"/>
  <c r="D91" i="11"/>
  <c r="D92" i="11"/>
  <c r="D93" i="11"/>
  <c r="D94" i="11"/>
  <c r="D95" i="11"/>
  <c r="D96" i="11"/>
  <c r="C89" i="11"/>
  <c r="C90" i="11"/>
  <c r="C91" i="11"/>
  <c r="C92" i="11"/>
  <c r="C93" i="11"/>
  <c r="C94" i="11"/>
  <c r="C95" i="11"/>
  <c r="C96" i="11"/>
  <c r="I47" i="17" l="1"/>
  <c r="H145" i="21" s="1"/>
  <c r="J157" i="21"/>
  <c r="H107" i="21"/>
  <c r="I107" i="21" s="1"/>
  <c r="L107" i="21" s="1"/>
  <c r="H157" i="21"/>
  <c r="H103" i="21"/>
  <c r="I103" i="21" s="1"/>
  <c r="L103" i="21" s="1"/>
  <c r="H153" i="21"/>
  <c r="H81" i="21"/>
  <c r="H131" i="21"/>
  <c r="H104" i="21"/>
  <c r="I104" i="21" s="1"/>
  <c r="L104" i="21" s="1"/>
  <c r="H154" i="21"/>
  <c r="H151" i="21"/>
  <c r="H101" i="21"/>
  <c r="I101" i="21" s="1"/>
  <c r="L101" i="21" s="1"/>
  <c r="H100" i="21"/>
  <c r="I100" i="21" s="1"/>
  <c r="L100" i="21" s="1"/>
  <c r="H150" i="21"/>
  <c r="H98" i="21"/>
  <c r="I98" i="21" s="1"/>
  <c r="L98" i="21" s="1"/>
  <c r="H148" i="21"/>
  <c r="H96" i="21"/>
  <c r="I96" i="21" s="1"/>
  <c r="L96" i="21" s="1"/>
  <c r="H146" i="21"/>
  <c r="H149" i="21"/>
  <c r="H99" i="21"/>
  <c r="I99" i="21" s="1"/>
  <c r="L99" i="21" s="1"/>
  <c r="H102" i="21"/>
  <c r="I102" i="21" s="1"/>
  <c r="L102" i="21" s="1"/>
  <c r="H152" i="21"/>
  <c r="I91" i="12"/>
  <c r="I92" i="12"/>
  <c r="I93" i="12"/>
  <c r="I74" i="12"/>
  <c r="H75" i="12"/>
  <c r="H95" i="12"/>
  <c r="I94" i="12"/>
  <c r="B16" i="12"/>
  <c r="C16" i="12"/>
  <c r="I48" i="12"/>
  <c r="D48" i="12"/>
  <c r="C48" i="12"/>
  <c r="B48" i="12"/>
  <c r="A40" i="16" s="1"/>
  <c r="C88" i="21" s="1"/>
  <c r="H95" i="21" l="1"/>
  <c r="I95" i="21" s="1"/>
  <c r="L95" i="21" s="1"/>
  <c r="D98" i="12"/>
  <c r="C40" i="17" s="1"/>
  <c r="E138" i="21" s="1"/>
  <c r="E88" i="21"/>
  <c r="C98" i="12"/>
  <c r="B40" i="17" s="1"/>
  <c r="D138" i="21" s="1"/>
  <c r="D88" i="21"/>
  <c r="I75" i="12"/>
  <c r="H76" i="12"/>
  <c r="H96" i="12"/>
  <c r="I95" i="12"/>
  <c r="I41" i="12"/>
  <c r="I42" i="12"/>
  <c r="I43" i="12"/>
  <c r="I44" i="12"/>
  <c r="I45" i="12"/>
  <c r="I46" i="12"/>
  <c r="I47" i="12"/>
  <c r="I40" i="12"/>
  <c r="D22" i="12"/>
  <c r="D23" i="12"/>
  <c r="D38" i="12"/>
  <c r="D39" i="12"/>
  <c r="D40" i="12"/>
  <c r="D41" i="12"/>
  <c r="D42" i="12"/>
  <c r="D43" i="12"/>
  <c r="D44" i="12"/>
  <c r="D45" i="12"/>
  <c r="D46" i="12"/>
  <c r="D47" i="12"/>
  <c r="D21" i="12"/>
  <c r="C22" i="12"/>
  <c r="C23" i="12"/>
  <c r="C38" i="12"/>
  <c r="C39" i="12"/>
  <c r="C40" i="12"/>
  <c r="C41" i="12"/>
  <c r="C42" i="12"/>
  <c r="C43" i="12"/>
  <c r="C44" i="12"/>
  <c r="C45" i="12"/>
  <c r="C46" i="12"/>
  <c r="C47" i="12"/>
  <c r="C21" i="12"/>
  <c r="C71" i="12" s="1"/>
  <c r="B22" i="12"/>
  <c r="B23" i="12"/>
  <c r="B38" i="12"/>
  <c r="B39" i="12"/>
  <c r="B40" i="12"/>
  <c r="B41" i="12"/>
  <c r="A33" i="16" s="1"/>
  <c r="C81" i="21" s="1"/>
  <c r="B42" i="12"/>
  <c r="A34" i="16" s="1"/>
  <c r="C82" i="21" s="1"/>
  <c r="B43" i="12"/>
  <c r="A35" i="16" s="1"/>
  <c r="C83" i="21" s="1"/>
  <c r="B44" i="12"/>
  <c r="A36" i="16" s="1"/>
  <c r="C84" i="21" s="1"/>
  <c r="B45" i="12"/>
  <c r="A37" i="16" s="1"/>
  <c r="C85" i="21" s="1"/>
  <c r="B46" i="12"/>
  <c r="A38" i="16" s="1"/>
  <c r="C86" i="21" s="1"/>
  <c r="B47" i="12"/>
  <c r="A39" i="16" s="1"/>
  <c r="C87" i="21" s="1"/>
  <c r="B21" i="12"/>
  <c r="H10" i="12"/>
  <c r="H11" i="12"/>
  <c r="H12" i="12"/>
  <c r="H13" i="12"/>
  <c r="H14" i="12"/>
  <c r="B10" i="12"/>
  <c r="B11" i="12"/>
  <c r="B12" i="12"/>
  <c r="B13" i="12"/>
  <c r="B14" i="12"/>
  <c r="B15" i="12"/>
  <c r="B9" i="12"/>
  <c r="D93" i="12" l="1"/>
  <c r="C35" i="17" s="1"/>
  <c r="E133" i="21" s="1"/>
  <c r="E83" i="21"/>
  <c r="C95" i="12"/>
  <c r="B37" i="17" s="1"/>
  <c r="D135" i="21" s="1"/>
  <c r="D85" i="21"/>
  <c r="D92" i="12"/>
  <c r="C34" i="17" s="1"/>
  <c r="E132" i="21" s="1"/>
  <c r="E82" i="21"/>
  <c r="C72" i="12"/>
  <c r="B14" i="17" s="1"/>
  <c r="D112" i="21" s="1"/>
  <c r="D62" i="21"/>
  <c r="C93" i="12"/>
  <c r="B35" i="17" s="1"/>
  <c r="D133" i="21" s="1"/>
  <c r="D83" i="21"/>
  <c r="D90" i="12"/>
  <c r="C32" i="17" s="1"/>
  <c r="E130" i="21" s="1"/>
  <c r="E80" i="21"/>
  <c r="C92" i="12"/>
  <c r="B34" i="17" s="1"/>
  <c r="D132" i="21" s="1"/>
  <c r="D82" i="21"/>
  <c r="D97" i="12"/>
  <c r="C39" i="17" s="1"/>
  <c r="E137" i="21" s="1"/>
  <c r="E87" i="21"/>
  <c r="D89" i="12"/>
  <c r="C31" i="17" s="1"/>
  <c r="E129" i="21" s="1"/>
  <c r="E79" i="21"/>
  <c r="C96" i="12"/>
  <c r="B38" i="17" s="1"/>
  <c r="D136" i="21" s="1"/>
  <c r="D86" i="21"/>
  <c r="C73" i="12"/>
  <c r="B15" i="17" s="1"/>
  <c r="D113" i="21" s="1"/>
  <c r="D63" i="21"/>
  <c r="C94" i="12"/>
  <c r="B36" i="17" s="1"/>
  <c r="D134" i="21" s="1"/>
  <c r="D84" i="21"/>
  <c r="D91" i="12"/>
  <c r="C33" i="17" s="1"/>
  <c r="E131" i="21" s="1"/>
  <c r="E81" i="21"/>
  <c r="C91" i="12"/>
  <c r="B33" i="17" s="1"/>
  <c r="D131" i="21" s="1"/>
  <c r="D81" i="21"/>
  <c r="D96" i="12"/>
  <c r="C38" i="17" s="1"/>
  <c r="E136" i="21" s="1"/>
  <c r="E86" i="21"/>
  <c r="D88" i="12"/>
  <c r="C30" i="17" s="1"/>
  <c r="E128" i="21" s="1"/>
  <c r="E78" i="21"/>
  <c r="C90" i="12"/>
  <c r="B32" i="17" s="1"/>
  <c r="D130" i="21" s="1"/>
  <c r="D80" i="21"/>
  <c r="D95" i="12"/>
  <c r="C37" i="17" s="1"/>
  <c r="E135" i="21" s="1"/>
  <c r="E85" i="21"/>
  <c r="D73" i="12"/>
  <c r="C15" i="17" s="1"/>
  <c r="E113" i="21" s="1"/>
  <c r="E63" i="21"/>
  <c r="C88" i="12"/>
  <c r="B30" i="17" s="1"/>
  <c r="D128" i="21" s="1"/>
  <c r="D78" i="21"/>
  <c r="C97" i="12"/>
  <c r="B39" i="17" s="1"/>
  <c r="D137" i="21" s="1"/>
  <c r="D87" i="21"/>
  <c r="C89" i="12"/>
  <c r="B31" i="17" s="1"/>
  <c r="D129" i="21" s="1"/>
  <c r="D79" i="21"/>
  <c r="D94" i="12"/>
  <c r="C36" i="17" s="1"/>
  <c r="E134" i="21" s="1"/>
  <c r="E84" i="21"/>
  <c r="D72" i="12"/>
  <c r="C14" i="17" s="1"/>
  <c r="E112" i="21" s="1"/>
  <c r="E62" i="21"/>
  <c r="I76" i="12"/>
  <c r="H77" i="12"/>
  <c r="D71" i="12"/>
  <c r="H97" i="12"/>
  <c r="I96" i="12"/>
  <c r="E4" i="24"/>
  <c r="P4" i="25"/>
  <c r="H78" i="12" l="1"/>
  <c r="I77" i="12"/>
  <c r="H98" i="12"/>
  <c r="I97" i="12"/>
  <c r="I78" i="12" l="1"/>
  <c r="H79" i="12"/>
  <c r="I98" i="12"/>
  <c r="H99" i="12"/>
  <c r="H80" i="12" l="1"/>
  <c r="I79" i="12"/>
  <c r="I99" i="12"/>
  <c r="H100" i="12"/>
  <c r="H101" i="12" s="1"/>
  <c r="H102" i="12" s="1"/>
  <c r="E16" i="24"/>
  <c r="E17" i="24" s="1"/>
  <c r="I80" i="12" l="1"/>
  <c r="H81" i="12"/>
  <c r="I100" i="12"/>
  <c r="C22" i="27"/>
  <c r="I81" i="12" l="1"/>
  <c r="H82" i="12"/>
  <c r="V4" i="29"/>
  <c r="H83" i="12" l="1"/>
  <c r="I82" i="12"/>
  <c r="I83" i="12" l="1"/>
  <c r="H84" i="12"/>
  <c r="I84" i="12" l="1"/>
  <c r="H85" i="12"/>
  <c r="D3" i="27"/>
  <c r="H86" i="12" l="1"/>
  <c r="I85" i="12"/>
  <c r="E35" i="32"/>
  <c r="E34" i="32" s="1"/>
  <c r="E33" i="32" s="1"/>
  <c r="J7" i="32"/>
  <c r="I7" i="32"/>
  <c r="J6" i="32"/>
  <c r="J4" i="32"/>
  <c r="I86" i="12" l="1"/>
  <c r="H87" i="12"/>
  <c r="I87" i="12" s="1"/>
  <c r="I102" i="12"/>
  <c r="I101" i="12"/>
  <c r="C25" i="26"/>
  <c r="B21" i="24"/>
  <c r="E32" i="32"/>
  <c r="I8" i="30"/>
  <c r="H8" i="30"/>
  <c r="I7" i="30"/>
  <c r="I5" i="30"/>
  <c r="B5" i="30"/>
  <c r="B24" i="24" l="1"/>
  <c r="E31" i="32"/>
  <c r="E30" i="32" s="1"/>
  <c r="E29" i="32" s="1"/>
  <c r="E28" i="32" s="1"/>
  <c r="E27" i="32" s="1"/>
  <c r="E26" i="32" s="1"/>
  <c r="E25" i="32" s="1"/>
  <c r="E24" i="32" s="1"/>
  <c r="B25" i="24" l="1"/>
  <c r="B26" i="24" s="1"/>
  <c r="A17" i="29"/>
  <c r="B27" i="24" l="1"/>
  <c r="B28" i="24" s="1"/>
  <c r="E18" i="24" s="1"/>
  <c r="B16" i="29"/>
  <c r="F7" i="29" l="1"/>
  <c r="F6" i="29"/>
  <c r="U4" i="29"/>
  <c r="V2" i="29"/>
  <c r="D4" i="27" l="1"/>
  <c r="C4" i="27"/>
  <c r="A2" i="27"/>
  <c r="D1" i="27"/>
  <c r="E19" i="24" l="1"/>
  <c r="C75" i="26"/>
  <c r="C74" i="26"/>
  <c r="D74" i="26" s="1"/>
  <c r="D73" i="26"/>
  <c r="T19" i="29" l="1"/>
  <c r="T23" i="29"/>
  <c r="T27" i="29"/>
  <c r="T31" i="29"/>
  <c r="T35" i="29"/>
  <c r="T39" i="29"/>
  <c r="T43" i="29"/>
  <c r="T47" i="29"/>
  <c r="T42" i="29"/>
  <c r="T16" i="29"/>
  <c r="T20" i="29"/>
  <c r="T24" i="29"/>
  <c r="T28" i="29"/>
  <c r="T32" i="29"/>
  <c r="T36" i="29"/>
  <c r="T40" i="29"/>
  <c r="T44" i="29"/>
  <c r="T15" i="29"/>
  <c r="T22" i="29"/>
  <c r="T30" i="29"/>
  <c r="T46" i="29"/>
  <c r="T17" i="29"/>
  <c r="T21" i="29"/>
  <c r="T25" i="29"/>
  <c r="T29" i="29"/>
  <c r="T33" i="29"/>
  <c r="T37" i="29"/>
  <c r="T41" i="29"/>
  <c r="T45" i="29"/>
  <c r="T18" i="29"/>
  <c r="T26" i="29"/>
  <c r="T34" i="29"/>
  <c r="T38" i="29"/>
  <c r="T50" i="29"/>
  <c r="T54" i="29"/>
  <c r="T48" i="29"/>
  <c r="T53" i="29"/>
  <c r="T51" i="29"/>
  <c r="T55" i="29"/>
  <c r="T57" i="29"/>
  <c r="T52" i="29"/>
  <c r="T56" i="29"/>
  <c r="T49" i="29"/>
  <c r="D11" i="27"/>
  <c r="J67" i="29" s="1"/>
  <c r="J17" i="29" s="1"/>
  <c r="J64" i="29" s="1"/>
  <c r="C18" i="26"/>
  <c r="C19" i="26" s="1"/>
  <c r="B18" i="26"/>
  <c r="B19" i="26" s="1"/>
  <c r="I4" i="26"/>
  <c r="H4" i="26"/>
  <c r="I3" i="26"/>
  <c r="A2" i="26"/>
  <c r="A1" i="26"/>
  <c r="C21" i="26" l="1"/>
  <c r="C28" i="26"/>
  <c r="C29" i="26" s="1"/>
  <c r="A108" i="25"/>
  <c r="B101" i="25"/>
  <c r="E95" i="25"/>
  <c r="E94" i="25"/>
  <c r="E93" i="25"/>
  <c r="E92" i="25"/>
  <c r="E91" i="25"/>
  <c r="F91" i="25" s="1"/>
  <c r="C30" i="26" l="1"/>
  <c r="C31" i="26" s="1"/>
  <c r="F93" i="25"/>
  <c r="F92" i="25"/>
  <c r="F94" i="25"/>
  <c r="B90" i="25"/>
  <c r="E89" i="25"/>
  <c r="B88" i="25"/>
  <c r="C32" i="26" l="1"/>
  <c r="F89" i="25"/>
  <c r="E87" i="25"/>
  <c r="E86" i="25"/>
  <c r="F86" i="25" s="1"/>
  <c r="F83" i="25"/>
  <c r="O4" i="25"/>
  <c r="P3" i="25"/>
  <c r="A2" i="25"/>
  <c r="A1" i="25"/>
  <c r="D4" i="24"/>
  <c r="E3" i="24"/>
  <c r="A2" i="24"/>
  <c r="A1" i="24"/>
  <c r="C33" i="26" l="1"/>
  <c r="I4" i="23" l="1"/>
  <c r="H4" i="23"/>
  <c r="I3" i="23"/>
  <c r="A2" i="23"/>
  <c r="A1" i="23"/>
  <c r="E4" i="22" l="1"/>
  <c r="D4" i="22"/>
  <c r="E3" i="22"/>
  <c r="A2" i="22"/>
  <c r="E1" i="22"/>
  <c r="A1" i="22"/>
  <c r="I116" i="21" l="1"/>
  <c r="L116" i="21" s="1"/>
  <c r="I124" i="21"/>
  <c r="L124" i="21" s="1"/>
  <c r="I117" i="21"/>
  <c r="L117" i="21" s="1"/>
  <c r="I125" i="21"/>
  <c r="L125" i="21" s="1"/>
  <c r="I146" i="21"/>
  <c r="L146" i="21" s="1"/>
  <c r="I148" i="21"/>
  <c r="L148" i="21" s="1"/>
  <c r="I150" i="21"/>
  <c r="L150" i="21" s="1"/>
  <c r="I152" i="21"/>
  <c r="L152" i="21" s="1"/>
  <c r="I154" i="21"/>
  <c r="L154" i="21" s="1"/>
  <c r="I156" i="21"/>
  <c r="L156" i="21" s="1"/>
  <c r="I118" i="21"/>
  <c r="L118" i="21" s="1"/>
  <c r="I126" i="21"/>
  <c r="L126" i="21" s="1"/>
  <c r="I119" i="21"/>
  <c r="L119" i="21" s="1"/>
  <c r="I127" i="21"/>
  <c r="L127" i="21" s="1"/>
  <c r="I120" i="21"/>
  <c r="L120" i="21" s="1"/>
  <c r="I121" i="21"/>
  <c r="L121" i="21" s="1"/>
  <c r="I145" i="21"/>
  <c r="I147" i="21"/>
  <c r="L147" i="21" s="1"/>
  <c r="I149" i="21"/>
  <c r="L149" i="21" s="1"/>
  <c r="I151" i="21"/>
  <c r="L151" i="21" s="1"/>
  <c r="I153" i="21"/>
  <c r="L153" i="21" s="1"/>
  <c r="I155" i="21"/>
  <c r="L155" i="21" s="1"/>
  <c r="I157" i="21"/>
  <c r="L157" i="21" s="1"/>
  <c r="I114" i="21"/>
  <c r="L114" i="21" s="1"/>
  <c r="I122" i="21"/>
  <c r="L122" i="21" s="1"/>
  <c r="I115" i="21"/>
  <c r="L115" i="21" s="1"/>
  <c r="I123" i="21"/>
  <c r="L123" i="21" s="1"/>
  <c r="I131" i="21"/>
  <c r="L131" i="21" s="1"/>
  <c r="I142" i="21"/>
  <c r="L142" i="21" s="1"/>
  <c r="I71" i="21"/>
  <c r="I64" i="21"/>
  <c r="I72" i="21"/>
  <c r="I91" i="21"/>
  <c r="I65" i="21"/>
  <c r="I73" i="21"/>
  <c r="I81" i="21"/>
  <c r="L81" i="21" s="1"/>
  <c r="I92" i="21"/>
  <c r="L92" i="21" s="1"/>
  <c r="I70" i="21"/>
  <c r="I66" i="21"/>
  <c r="I74" i="21"/>
  <c r="I67" i="21"/>
  <c r="L67" i="21" s="1"/>
  <c r="I75" i="21"/>
  <c r="I68" i="21"/>
  <c r="I76" i="21"/>
  <c r="I69" i="21"/>
  <c r="I77" i="21"/>
  <c r="F53" i="21"/>
  <c r="F55" i="21"/>
  <c r="F56" i="21"/>
  <c r="F50" i="21"/>
  <c r="F51" i="21"/>
  <c r="F54" i="21"/>
  <c r="F48" i="21"/>
  <c r="F49" i="21"/>
  <c r="F57" i="21"/>
  <c r="F52" i="21"/>
  <c r="G52" i="21"/>
  <c r="G54" i="21"/>
  <c r="G48" i="21"/>
  <c r="G50" i="21"/>
  <c r="G57" i="21"/>
  <c r="G53" i="21"/>
  <c r="G55" i="21"/>
  <c r="G49" i="21"/>
  <c r="G56" i="21"/>
  <c r="G51" i="21"/>
  <c r="G32" i="21"/>
  <c r="I32" i="21" s="1"/>
  <c r="L32" i="21" s="1"/>
  <c r="L91" i="21" l="1"/>
  <c r="L141" i="21"/>
  <c r="L145" i="21"/>
  <c r="B111" i="21" l="1"/>
  <c r="B61" i="21" l="1"/>
  <c r="G38" i="21" l="1"/>
  <c r="B34" i="21"/>
  <c r="G31" i="21"/>
  <c r="B31" i="21"/>
  <c r="G30" i="21"/>
  <c r="B30" i="21"/>
  <c r="B29" i="21"/>
  <c r="B28" i="21"/>
  <c r="B27" i="21"/>
  <c r="B26" i="21"/>
  <c r="B25" i="21"/>
  <c r="B24" i="21"/>
  <c r="B23" i="21"/>
  <c r="L4" i="21"/>
  <c r="K4" i="21"/>
  <c r="L3" i="21"/>
  <c r="L1" i="21"/>
  <c r="F4" i="20"/>
  <c r="E4" i="20"/>
  <c r="F3" i="20"/>
  <c r="F1" i="20"/>
  <c r="R4" i="19"/>
  <c r="Q4" i="19"/>
  <c r="R3" i="19"/>
  <c r="A2" i="19"/>
  <c r="R1" i="19"/>
  <c r="A1" i="19"/>
  <c r="F4" i="18"/>
  <c r="E4" i="18"/>
  <c r="F3" i="18"/>
  <c r="F1" i="18"/>
  <c r="I34" i="21" l="1"/>
  <c r="M13" i="17"/>
  <c r="D13" i="17"/>
  <c r="A13" i="17"/>
  <c r="AS4" i="17"/>
  <c r="AR4" i="17"/>
  <c r="AB4" i="17"/>
  <c r="AA4" i="17"/>
  <c r="AS3" i="17"/>
  <c r="AB3" i="17"/>
  <c r="AS1" i="17"/>
  <c r="AB1" i="17"/>
  <c r="A32" i="16" l="1"/>
  <c r="C80" i="21" s="1"/>
  <c r="A31" i="16"/>
  <c r="C79" i="21" s="1"/>
  <c r="A30" i="16"/>
  <c r="C78" i="21" s="1"/>
  <c r="A15" i="16"/>
  <c r="C63" i="21" s="1"/>
  <c r="A14" i="16"/>
  <c r="C62" i="21" s="1"/>
  <c r="C13" i="16"/>
  <c r="J61" i="21" s="1"/>
  <c r="B13" i="16"/>
  <c r="A13" i="16"/>
  <c r="R4" i="16"/>
  <c r="Q4" i="16"/>
  <c r="R3" i="16"/>
  <c r="R1" i="16"/>
  <c r="C57" i="21"/>
  <c r="C56" i="21"/>
  <c r="C55" i="21"/>
  <c r="C54" i="21"/>
  <c r="C53" i="21"/>
  <c r="C52" i="21"/>
  <c r="C51" i="21"/>
  <c r="C50" i="21"/>
  <c r="C49" i="21"/>
  <c r="C48" i="21"/>
  <c r="O4" i="15"/>
  <c r="N4" i="15"/>
  <c r="O3" i="15"/>
  <c r="O1" i="15"/>
  <c r="F34" i="17" l="1"/>
  <c r="H34" i="17" s="1"/>
  <c r="I34" i="17" s="1"/>
  <c r="H14" i="17"/>
  <c r="F31" i="17"/>
  <c r="H31" i="17" s="1"/>
  <c r="F40" i="17"/>
  <c r="H40" i="17" s="1"/>
  <c r="I40" i="17" s="1"/>
  <c r="AG13" i="17"/>
  <c r="F13" i="17" s="1"/>
  <c r="H13" i="17" s="1"/>
  <c r="H15" i="17"/>
  <c r="F30" i="17"/>
  <c r="H30" i="17" s="1"/>
  <c r="F32" i="17"/>
  <c r="H32" i="17" s="1"/>
  <c r="F38" i="17"/>
  <c r="H38" i="17" s="1"/>
  <c r="I38" i="17" s="1"/>
  <c r="F39" i="17"/>
  <c r="H39" i="17" s="1"/>
  <c r="I39" i="17" s="1"/>
  <c r="F41" i="17"/>
  <c r="H41" i="17" s="1"/>
  <c r="I41" i="17" s="1"/>
  <c r="D12" i="14"/>
  <c r="A12" i="14"/>
  <c r="T4" i="14"/>
  <c r="S4" i="14"/>
  <c r="T3" i="14"/>
  <c r="T1" i="14"/>
  <c r="L19" i="13"/>
  <c r="J18" i="21"/>
  <c r="D19" i="13"/>
  <c r="A19" i="13"/>
  <c r="L18" i="13"/>
  <c r="J17" i="21"/>
  <c r="D18" i="13"/>
  <c r="A18" i="13"/>
  <c r="L17" i="13"/>
  <c r="J16" i="21"/>
  <c r="D17" i="13"/>
  <c r="A17" i="13"/>
  <c r="L16" i="13"/>
  <c r="J15" i="21"/>
  <c r="D16" i="13"/>
  <c r="A16" i="13"/>
  <c r="L15" i="13"/>
  <c r="J14" i="21"/>
  <c r="D15" i="13"/>
  <c r="A15" i="13"/>
  <c r="L14" i="13"/>
  <c r="J13" i="21"/>
  <c r="D14" i="13"/>
  <c r="A14" i="13"/>
  <c r="L13" i="13"/>
  <c r="J12" i="21"/>
  <c r="D13" i="13"/>
  <c r="A13" i="13"/>
  <c r="J11" i="21"/>
  <c r="D12" i="13"/>
  <c r="A12" i="13"/>
  <c r="R4" i="13"/>
  <c r="Q4" i="13"/>
  <c r="R3" i="13"/>
  <c r="A2" i="13"/>
  <c r="R1" i="13"/>
  <c r="A1" i="13"/>
  <c r="C146" i="12"/>
  <c r="B28" i="14" s="1"/>
  <c r="D34" i="21" s="1"/>
  <c r="C141" i="12"/>
  <c r="B19" i="14" s="1"/>
  <c r="C140" i="12"/>
  <c r="B18" i="14" s="1"/>
  <c r="C139" i="12"/>
  <c r="B17" i="14" s="1"/>
  <c r="C137" i="12"/>
  <c r="B15" i="14" s="1"/>
  <c r="C136" i="12"/>
  <c r="B14" i="14" s="1"/>
  <c r="C135" i="12"/>
  <c r="A135" i="12"/>
  <c r="A136" i="12" s="1"/>
  <c r="A137" i="12" s="1"/>
  <c r="A138" i="12" s="1"/>
  <c r="A139" i="12" s="1"/>
  <c r="A140" i="12" s="1"/>
  <c r="A141" i="12" s="1"/>
  <c r="A142" i="12" s="1"/>
  <c r="A143" i="12" s="1"/>
  <c r="A144" i="12" s="1"/>
  <c r="D23" i="21"/>
  <c r="J57" i="21"/>
  <c r="L57" i="21" s="1"/>
  <c r="C131" i="12"/>
  <c r="D57" i="21" s="1"/>
  <c r="C130" i="12"/>
  <c r="D56" i="21" s="1"/>
  <c r="C129" i="12"/>
  <c r="C128" i="12"/>
  <c r="C127" i="12"/>
  <c r="C126" i="12"/>
  <c r="C125" i="12"/>
  <c r="C124" i="12"/>
  <c r="C123" i="12"/>
  <c r="C122" i="12"/>
  <c r="D49" i="21" s="1"/>
  <c r="A122" i="12"/>
  <c r="A123" i="12" s="1"/>
  <c r="A124" i="12" s="1"/>
  <c r="A125" i="12" s="1"/>
  <c r="A126" i="12" s="1"/>
  <c r="A127" i="12" s="1"/>
  <c r="A128" i="12" s="1"/>
  <c r="A129" i="12" s="1"/>
  <c r="A130" i="12" s="1"/>
  <c r="A131" i="12" s="1"/>
  <c r="C121" i="12"/>
  <c r="G90" i="12"/>
  <c r="G89" i="12"/>
  <c r="G88" i="12"/>
  <c r="B12" i="15" l="1"/>
  <c r="D48" i="21" s="1"/>
  <c r="H56" i="21"/>
  <c r="I56" i="21" s="1"/>
  <c r="J56" i="21"/>
  <c r="L56" i="21" s="1"/>
  <c r="H86" i="21"/>
  <c r="I86" i="21" s="1"/>
  <c r="L86" i="21" s="1"/>
  <c r="H136" i="21"/>
  <c r="I136" i="21" s="1"/>
  <c r="L136" i="21" s="1"/>
  <c r="H139" i="21"/>
  <c r="I139" i="21" s="1"/>
  <c r="L139" i="21" s="1"/>
  <c r="H89" i="21"/>
  <c r="I89" i="21" s="1"/>
  <c r="L89" i="21" s="1"/>
  <c r="H138" i="21"/>
  <c r="I138" i="21" s="1"/>
  <c r="L138" i="21" s="1"/>
  <c r="H88" i="21"/>
  <c r="I88" i="21" s="1"/>
  <c r="L88" i="21" s="1"/>
  <c r="H87" i="21"/>
  <c r="I87" i="21" s="1"/>
  <c r="L87" i="21" s="1"/>
  <c r="H137" i="21"/>
  <c r="I137" i="21" s="1"/>
  <c r="L137" i="21" s="1"/>
  <c r="H82" i="21"/>
  <c r="I82" i="21" s="1"/>
  <c r="L82" i="21" s="1"/>
  <c r="H132" i="21"/>
  <c r="I132" i="21" s="1"/>
  <c r="L132" i="21" s="1"/>
  <c r="E32" i="17"/>
  <c r="J130" i="21" s="1"/>
  <c r="E30" i="17"/>
  <c r="E31" i="17"/>
  <c r="J129" i="21" s="1"/>
  <c r="I72" i="12"/>
  <c r="E14" i="17"/>
  <c r="E15" i="17"/>
  <c r="J113" i="21" s="1"/>
  <c r="F37" i="17"/>
  <c r="F35" i="17"/>
  <c r="H35" i="17" s="1"/>
  <c r="I35" i="17" s="1"/>
  <c r="F36" i="17"/>
  <c r="H36" i="17" s="1"/>
  <c r="I36" i="17" s="1"/>
  <c r="F42" i="17"/>
  <c r="H42" i="17" s="1"/>
  <c r="I42" i="17" s="1"/>
  <c r="B13" i="14"/>
  <c r="D24" i="21" s="1"/>
  <c r="H57" i="21"/>
  <c r="I57" i="21" s="1"/>
  <c r="C24" i="21"/>
  <c r="C23" i="21"/>
  <c r="I90" i="12"/>
  <c r="E127" i="12"/>
  <c r="E122" i="12"/>
  <c r="E125" i="12"/>
  <c r="E123" i="12"/>
  <c r="E126" i="12"/>
  <c r="E121" i="12"/>
  <c r="E12" i="15" s="1"/>
  <c r="E129" i="12"/>
  <c r="J24" i="21"/>
  <c r="J25" i="21"/>
  <c r="J26" i="21"/>
  <c r="D25" i="21"/>
  <c r="C25" i="21" s="1"/>
  <c r="D26" i="21"/>
  <c r="C26" i="21" s="1"/>
  <c r="D27" i="21"/>
  <c r="C27" i="21" s="1"/>
  <c r="D28" i="21"/>
  <c r="C28" i="21" s="1"/>
  <c r="D29" i="21"/>
  <c r="C29" i="21" s="1"/>
  <c r="D30" i="21"/>
  <c r="C30" i="21" s="1"/>
  <c r="D31" i="21"/>
  <c r="C31" i="21" s="1"/>
  <c r="D54" i="21"/>
  <c r="D51" i="21"/>
  <c r="D55" i="21"/>
  <c r="G13" i="16"/>
  <c r="E124" i="12"/>
  <c r="I11" i="21"/>
  <c r="H12" i="21"/>
  <c r="I12" i="21" s="1"/>
  <c r="H13" i="21"/>
  <c r="I13" i="21" s="1"/>
  <c r="H14" i="21"/>
  <c r="I14" i="21" s="1"/>
  <c r="H15" i="21"/>
  <c r="I15" i="21" s="1"/>
  <c r="H16" i="21"/>
  <c r="I16" i="21" s="1"/>
  <c r="L16" i="21" s="1"/>
  <c r="H17" i="21"/>
  <c r="I17" i="21" s="1"/>
  <c r="H18" i="21"/>
  <c r="I18" i="21" s="1"/>
  <c r="D53" i="21"/>
  <c r="D50" i="21"/>
  <c r="D52" i="21"/>
  <c r="A72" i="12"/>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D67" i="12"/>
  <c r="E107" i="21" s="1"/>
  <c r="C67" i="12"/>
  <c r="D107" i="21" s="1"/>
  <c r="D64" i="12"/>
  <c r="E104" i="21" s="1"/>
  <c r="C64" i="12"/>
  <c r="D104" i="21" s="1"/>
  <c r="F12" i="15" l="1"/>
  <c r="H12" i="15"/>
  <c r="I32" i="17"/>
  <c r="H130" i="21" s="1"/>
  <c r="I130" i="21" s="1"/>
  <c r="L130" i="21" s="1"/>
  <c r="H140" i="21"/>
  <c r="I140" i="21" s="1"/>
  <c r="L140" i="21" s="1"/>
  <c r="H90" i="21"/>
  <c r="I90" i="21" s="1"/>
  <c r="L90" i="21" s="1"/>
  <c r="H84" i="21"/>
  <c r="I84" i="21" s="1"/>
  <c r="L84" i="21" s="1"/>
  <c r="H134" i="21"/>
  <c r="I134" i="21" s="1"/>
  <c r="L134" i="21" s="1"/>
  <c r="I30" i="17"/>
  <c r="J128" i="21"/>
  <c r="H133" i="21"/>
  <c r="I133" i="21" s="1"/>
  <c r="L133" i="21" s="1"/>
  <c r="H83" i="21"/>
  <c r="I83" i="21" s="1"/>
  <c r="L83" i="21" s="1"/>
  <c r="H52" i="21"/>
  <c r="I52" i="21" s="1"/>
  <c r="J52" i="21"/>
  <c r="L52" i="21" s="1"/>
  <c r="H49" i="21"/>
  <c r="I49" i="21" s="1"/>
  <c r="J49" i="21"/>
  <c r="L49" i="21" s="1"/>
  <c r="I14" i="17"/>
  <c r="J112" i="21"/>
  <c r="H37" i="17"/>
  <c r="I37" i="17" s="1"/>
  <c r="A146" i="12"/>
  <c r="A147" i="12" s="1"/>
  <c r="A148" i="12" s="1"/>
  <c r="A149" i="12" s="1"/>
  <c r="A150" i="12" s="1"/>
  <c r="A151" i="12" s="1"/>
  <c r="A152" i="12" s="1"/>
  <c r="A153" i="12" s="1"/>
  <c r="A154" i="12" s="1"/>
  <c r="A155" i="12" s="1"/>
  <c r="A156" i="12" s="1"/>
  <c r="G103" i="12"/>
  <c r="E13" i="17"/>
  <c r="I13" i="17" s="1"/>
  <c r="I31" i="17"/>
  <c r="I15" i="17"/>
  <c r="G118" i="12"/>
  <c r="G119" i="12" s="1"/>
  <c r="I71" i="12"/>
  <c r="I106" i="12"/>
  <c r="I112" i="12"/>
  <c r="J54" i="21"/>
  <c r="L54" i="21" s="1"/>
  <c r="I110" i="12"/>
  <c r="I68" i="12"/>
  <c r="I67" i="12"/>
  <c r="L11" i="21"/>
  <c r="D117" i="12"/>
  <c r="C59" i="17" s="1"/>
  <c r="E157" i="21" s="1"/>
  <c r="C118" i="12"/>
  <c r="J31" i="21"/>
  <c r="J29" i="21"/>
  <c r="J27" i="21"/>
  <c r="D114" i="12"/>
  <c r="C56" i="17" s="1"/>
  <c r="E154" i="21" s="1"/>
  <c r="C114" i="12"/>
  <c r="B56" i="17" s="1"/>
  <c r="D154" i="21" s="1"/>
  <c r="C117" i="12"/>
  <c r="B59" i="17" s="1"/>
  <c r="D157" i="21" s="1"/>
  <c r="D118" i="12"/>
  <c r="J28" i="21"/>
  <c r="I111" i="12"/>
  <c r="I109" i="12"/>
  <c r="I12" i="14"/>
  <c r="D63" i="12"/>
  <c r="E103" i="21" s="1"/>
  <c r="C63" i="12"/>
  <c r="D103" i="21" s="1"/>
  <c r="D62" i="12"/>
  <c r="E102" i="21" s="1"/>
  <c r="C62" i="12"/>
  <c r="D102" i="21" s="1"/>
  <c r="D61" i="12"/>
  <c r="E101" i="21" s="1"/>
  <c r="C61" i="12"/>
  <c r="D101" i="21" s="1"/>
  <c r="D60" i="12"/>
  <c r="E100" i="21" s="1"/>
  <c r="C60" i="12"/>
  <c r="D100" i="21" s="1"/>
  <c r="D59" i="12"/>
  <c r="E99" i="21" s="1"/>
  <c r="C59" i="12"/>
  <c r="D99" i="21" s="1"/>
  <c r="D58" i="12"/>
  <c r="E98" i="21" s="1"/>
  <c r="C58" i="12"/>
  <c r="D98" i="21" s="1"/>
  <c r="D56" i="12"/>
  <c r="E96" i="21" s="1"/>
  <c r="C56" i="12"/>
  <c r="D96" i="21" s="1"/>
  <c r="I55" i="12"/>
  <c r="D55" i="12"/>
  <c r="E95" i="21" s="1"/>
  <c r="C55" i="12"/>
  <c r="D95" i="21" s="1"/>
  <c r="I39" i="12"/>
  <c r="I38" i="12"/>
  <c r="I23" i="12"/>
  <c r="I22" i="12"/>
  <c r="A22" i="12"/>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I21" i="12"/>
  <c r="H16" i="12"/>
  <c r="I16" i="12" s="1"/>
  <c r="H15" i="12"/>
  <c r="I15" i="12" s="1"/>
  <c r="C15" i="12"/>
  <c r="I14" i="12"/>
  <c r="C14" i="12"/>
  <c r="I13" i="12"/>
  <c r="C13" i="12"/>
  <c r="I12" i="12"/>
  <c r="C12" i="12"/>
  <c r="I11" i="12"/>
  <c r="C11" i="12"/>
  <c r="I10" i="12"/>
  <c r="C10" i="12"/>
  <c r="B13" i="13" s="1"/>
  <c r="D12" i="21" s="1"/>
  <c r="C12" i="21" s="1"/>
  <c r="B12" i="21" s="1"/>
  <c r="A10" i="12"/>
  <c r="I9" i="12"/>
  <c r="C9" i="12"/>
  <c r="B12" i="13" s="1"/>
  <c r="D11" i="21" s="1"/>
  <c r="C11" i="21" s="1"/>
  <c r="B11" i="21" s="1"/>
  <c r="I4" i="12"/>
  <c r="H4" i="12"/>
  <c r="I3" i="12"/>
  <c r="A2" i="12"/>
  <c r="I1" i="12"/>
  <c r="A1" i="12"/>
  <c r="A133" i="11"/>
  <c r="A134" i="11" s="1"/>
  <c r="A135" i="11" s="1"/>
  <c r="A136" i="11" s="1"/>
  <c r="A137" i="11" s="1"/>
  <c r="A138" i="11" s="1"/>
  <c r="A139" i="11" s="1"/>
  <c r="A140" i="11" s="1"/>
  <c r="A141" i="11" s="1"/>
  <c r="A120" i="11"/>
  <c r="D116" i="11"/>
  <c r="D113" i="11"/>
  <c r="D112" i="11"/>
  <c r="D111" i="11"/>
  <c r="D110" i="11"/>
  <c r="D109" i="11"/>
  <c r="D108" i="11"/>
  <c r="D107" i="11"/>
  <c r="D105" i="11"/>
  <c r="D104" i="11"/>
  <c r="C104" i="11"/>
  <c r="D88" i="11"/>
  <c r="C88" i="11"/>
  <c r="D87" i="11"/>
  <c r="C87" i="11"/>
  <c r="D72" i="11"/>
  <c r="C72" i="11"/>
  <c r="D71" i="11"/>
  <c r="C71" i="11"/>
  <c r="A71" i="1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D70" i="11"/>
  <c r="A10" i="11"/>
  <c r="G4" i="11"/>
  <c r="F4" i="11"/>
  <c r="G3" i="11"/>
  <c r="A2" i="11"/>
  <c r="G1" i="11"/>
  <c r="A1" i="11"/>
  <c r="A142" i="11" l="1"/>
  <c r="A144" i="11" s="1"/>
  <c r="I118" i="12"/>
  <c r="H80" i="21"/>
  <c r="I80" i="21" s="1"/>
  <c r="L80" i="21" s="1"/>
  <c r="H48" i="21"/>
  <c r="I48" i="21" s="1"/>
  <c r="J48" i="21"/>
  <c r="L48" i="21" s="1"/>
  <c r="H53" i="21"/>
  <c r="I53" i="21" s="1"/>
  <c r="J53" i="21"/>
  <c r="L53" i="21" s="1"/>
  <c r="H112" i="21"/>
  <c r="I112" i="21" s="1"/>
  <c r="L112" i="21" s="1"/>
  <c r="H62" i="21"/>
  <c r="I62" i="21" s="1"/>
  <c r="L62" i="21" s="1"/>
  <c r="H113" i="21"/>
  <c r="I113" i="21" s="1"/>
  <c r="L113" i="21" s="1"/>
  <c r="H63" i="21"/>
  <c r="I63" i="21" s="1"/>
  <c r="L63" i="21" s="1"/>
  <c r="L64" i="21"/>
  <c r="H78" i="21"/>
  <c r="I78" i="21" s="1"/>
  <c r="H128" i="21"/>
  <c r="I128" i="21" s="1"/>
  <c r="L128" i="21" s="1"/>
  <c r="H79" i="21"/>
  <c r="I79" i="21" s="1"/>
  <c r="H129" i="21"/>
  <c r="I129" i="21" s="1"/>
  <c r="L129" i="21" s="1"/>
  <c r="H85" i="21"/>
  <c r="I85" i="21" s="1"/>
  <c r="L85" i="21" s="1"/>
  <c r="H135" i="21"/>
  <c r="I135" i="21" s="1"/>
  <c r="L135" i="21" s="1"/>
  <c r="H111" i="21"/>
  <c r="J111" i="21"/>
  <c r="H54" i="21"/>
  <c r="I54" i="21" s="1"/>
  <c r="I64" i="12"/>
  <c r="I56" i="12"/>
  <c r="I58" i="12"/>
  <c r="I59" i="12"/>
  <c r="I60" i="12"/>
  <c r="I61" i="12"/>
  <c r="I62" i="12"/>
  <c r="B15" i="13"/>
  <c r="D14" i="21" s="1"/>
  <c r="C14" i="21" s="1"/>
  <c r="B14" i="21" s="1"/>
  <c r="L13" i="21" s="1"/>
  <c r="B17" i="13"/>
  <c r="D16" i="21" s="1"/>
  <c r="C16" i="21" s="1"/>
  <c r="B16" i="21" s="1"/>
  <c r="L15" i="21" s="1"/>
  <c r="B19" i="13"/>
  <c r="D18" i="21" s="1"/>
  <c r="C18" i="21" s="1"/>
  <c r="B18" i="21" s="1"/>
  <c r="L17" i="21" s="1"/>
  <c r="C105" i="12"/>
  <c r="B47" i="17" s="1"/>
  <c r="D145" i="21" s="1"/>
  <c r="C106" i="12"/>
  <c r="C108" i="12"/>
  <c r="B50" i="17" s="1"/>
  <c r="D148" i="21" s="1"/>
  <c r="C109" i="12"/>
  <c r="B51" i="17" s="1"/>
  <c r="D149" i="21" s="1"/>
  <c r="C110" i="12"/>
  <c r="B52" i="17" s="1"/>
  <c r="D150" i="21" s="1"/>
  <c r="C111" i="12"/>
  <c r="B53" i="17" s="1"/>
  <c r="D151" i="21" s="1"/>
  <c r="C112" i="12"/>
  <c r="B54" i="17" s="1"/>
  <c r="D152" i="21" s="1"/>
  <c r="C113" i="12"/>
  <c r="B55" i="17" s="1"/>
  <c r="D153" i="21" s="1"/>
  <c r="J23" i="21"/>
  <c r="A11" i="12"/>
  <c r="A12" i="12" s="1"/>
  <c r="A13" i="12" s="1"/>
  <c r="A14" i="12" s="1"/>
  <c r="A15" i="12" s="1"/>
  <c r="A16" i="12" s="1"/>
  <c r="A17" i="12" s="1"/>
  <c r="A18" i="12" s="1"/>
  <c r="B14" i="13"/>
  <c r="D13" i="21" s="1"/>
  <c r="C13" i="21" s="1"/>
  <c r="B13" i="21" s="1"/>
  <c r="L12" i="21" s="1"/>
  <c r="B16" i="13"/>
  <c r="D15" i="21" s="1"/>
  <c r="C15" i="21" s="1"/>
  <c r="B15" i="21" s="1"/>
  <c r="L14" i="21" s="1"/>
  <c r="B18" i="13"/>
  <c r="D17" i="21" s="1"/>
  <c r="C17" i="21" s="1"/>
  <c r="B17" i="21" s="1"/>
  <c r="L18" i="21"/>
  <c r="E61" i="21"/>
  <c r="C13" i="17"/>
  <c r="E111" i="21" s="1"/>
  <c r="D105" i="12"/>
  <c r="C47" i="17" s="1"/>
  <c r="E145" i="21" s="1"/>
  <c r="D106" i="12"/>
  <c r="D108" i="12"/>
  <c r="D109" i="12"/>
  <c r="C51" i="17" s="1"/>
  <c r="E149" i="21" s="1"/>
  <c r="D110" i="12"/>
  <c r="C52" i="17" s="1"/>
  <c r="E150" i="21" s="1"/>
  <c r="D111" i="12"/>
  <c r="C53" i="17" s="1"/>
  <c r="E151" i="21" s="1"/>
  <c r="D112" i="12"/>
  <c r="C54" i="17" s="1"/>
  <c r="E152" i="21" s="1"/>
  <c r="D113" i="12"/>
  <c r="C55" i="17" s="1"/>
  <c r="E153" i="21" s="1"/>
  <c r="I4" i="9"/>
  <c r="I3" i="9"/>
  <c r="A2" i="9"/>
  <c r="A1" i="9"/>
  <c r="H4" i="7"/>
  <c r="H3" i="7"/>
  <c r="A2" i="7"/>
  <c r="H1" i="7"/>
  <c r="A1" i="7"/>
  <c r="H3" i="6"/>
  <c r="A2" i="6"/>
  <c r="H1" i="6"/>
  <c r="A1" i="6"/>
  <c r="H3" i="5"/>
  <c r="A2" i="5"/>
  <c r="H1" i="5"/>
  <c r="A1" i="5"/>
  <c r="H3" i="4"/>
  <c r="A2" i="4"/>
  <c r="H1" i="4"/>
  <c r="A1" i="4"/>
  <c r="C15" i="3"/>
  <c r="A2" i="3"/>
  <c r="A1" i="3"/>
  <c r="G4" i="2"/>
  <c r="F4" i="2"/>
  <c r="G3" i="2"/>
  <c r="A2" i="2"/>
  <c r="G1" i="2"/>
  <c r="A1" i="2"/>
  <c r="B48" i="17" l="1"/>
  <c r="D146" i="21" s="1"/>
  <c r="C48" i="17"/>
  <c r="E146" i="21" s="1"/>
  <c r="C50" i="17"/>
  <c r="E148" i="21" s="1"/>
  <c r="D61" i="21"/>
  <c r="C61" i="21" s="1"/>
  <c r="I63" i="12"/>
  <c r="E128" i="12"/>
  <c r="I1" i="26"/>
  <c r="E1" i="24"/>
  <c r="P1" i="25"/>
  <c r="I1" i="23"/>
  <c r="A1" i="15"/>
  <c r="A1" i="14"/>
  <c r="A2" i="15"/>
  <c r="A2" i="14"/>
  <c r="B13" i="17"/>
  <c r="D111" i="21" s="1"/>
  <c r="C111" i="21" s="1"/>
  <c r="I1" i="9"/>
  <c r="A104" i="11" l="1"/>
  <c r="A105" i="11" s="1"/>
  <c r="A106" i="11" s="1"/>
  <c r="A107" i="11" s="1"/>
  <c r="A108" i="11" s="1"/>
  <c r="A109" i="11" s="1"/>
  <c r="A110" i="11" s="1"/>
  <c r="A111" i="11" s="1"/>
  <c r="A112" i="11" s="1"/>
  <c r="A113" i="11" s="1"/>
  <c r="A114" i="11" s="1"/>
  <c r="A115" i="11" s="1"/>
  <c r="A116" i="11" s="1"/>
  <c r="A117" i="11" s="1"/>
  <c r="E132" i="12"/>
  <c r="A132" i="12" s="1"/>
  <c r="I73" i="12"/>
  <c r="I113" i="12"/>
  <c r="H55" i="21" l="1"/>
  <c r="I55" i="21" s="1"/>
  <c r="J55" i="21"/>
  <c r="L55" i="21" s="1"/>
  <c r="J30" i="21"/>
  <c r="H30" i="21"/>
  <c r="I30" i="21" s="1"/>
  <c r="I88" i="12"/>
  <c r="H23" i="21"/>
  <c r="I23" i="21" s="1"/>
  <c r="J50" i="21"/>
  <c r="L50" i="21" s="1"/>
  <c r="J51" i="21"/>
  <c r="L51" i="21" s="1"/>
  <c r="H24" i="21"/>
  <c r="I24" i="21" s="1"/>
  <c r="L24" i="21" s="1"/>
  <c r="H25" i="21"/>
  <c r="I25" i="21" s="1"/>
  <c r="L25" i="21" s="1"/>
  <c r="H26" i="21"/>
  <c r="I26" i="21" s="1"/>
  <c r="L26" i="21" s="1"/>
  <c r="H27" i="21"/>
  <c r="I27" i="21" s="1"/>
  <c r="L27" i="21" s="1"/>
  <c r="H28" i="21"/>
  <c r="I28" i="21" s="1"/>
  <c r="L28" i="21" s="1"/>
  <c r="H29" i="21"/>
  <c r="I29" i="21" s="1"/>
  <c r="L29" i="21" s="1"/>
  <c r="H31" i="21"/>
  <c r="I31" i="21" s="1"/>
  <c r="L31" i="21" s="1"/>
  <c r="L34" i="21"/>
  <c r="I35" i="21"/>
  <c r="I36" i="21"/>
  <c r="I37" i="21"/>
  <c r="I38" i="21"/>
  <c r="I39" i="21"/>
  <c r="I40" i="21"/>
  <c r="I41" i="21"/>
  <c r="I42" i="21"/>
  <c r="I21" i="21"/>
  <c r="F87" i="25"/>
  <c r="F95" i="25"/>
  <c r="I114" i="12"/>
  <c r="A109" i="25"/>
  <c r="A110" i="25" s="1"/>
  <c r="A111" i="25" s="1"/>
  <c r="A112" i="25" s="1"/>
  <c r="A113" i="25" s="1"/>
  <c r="A114" i="25" s="1"/>
  <c r="A115" i="25" s="1"/>
  <c r="A116" i="25" s="1"/>
  <c r="A117" i="25" s="1"/>
  <c r="A118" i="25" s="1"/>
  <c r="A119" i="25" s="1"/>
  <c r="I105" i="12"/>
  <c r="I108" i="12"/>
  <c r="B17" i="29"/>
  <c r="B18" i="29" s="1"/>
  <c r="C34" i="26" l="1"/>
  <c r="C35" i="26" s="1"/>
  <c r="L38" i="21"/>
  <c r="L36" i="21"/>
  <c r="L42" i="21"/>
  <c r="L40" i="21"/>
  <c r="L41" i="21"/>
  <c r="L39" i="21"/>
  <c r="L37" i="21"/>
  <c r="L35" i="21"/>
  <c r="H51" i="21"/>
  <c r="I51" i="21" s="1"/>
  <c r="H50" i="21"/>
  <c r="I50" i="21" s="1"/>
  <c r="A105" i="12"/>
  <c r="A106" i="12" s="1"/>
  <c r="A107" i="12" s="1"/>
  <c r="A108" i="12" s="1"/>
  <c r="A109" i="12" s="1"/>
  <c r="A110" i="12" s="1"/>
  <c r="A111" i="12" s="1"/>
  <c r="A112" i="12" s="1"/>
  <c r="A113" i="12" s="1"/>
  <c r="A114" i="12" s="1"/>
  <c r="A115" i="12" s="1"/>
  <c r="A116" i="12" s="1"/>
  <c r="A117" i="12" s="1"/>
  <c r="A118" i="12" s="1"/>
  <c r="A119" i="12" s="1"/>
  <c r="L30" i="21"/>
  <c r="L78" i="21"/>
  <c r="L72" i="21"/>
  <c r="L75" i="21"/>
  <c r="L71" i="21"/>
  <c r="L77" i="21"/>
  <c r="L74" i="21"/>
  <c r="I43" i="21"/>
  <c r="I45" i="21" s="1"/>
  <c r="L23" i="21"/>
  <c r="L69" i="21"/>
  <c r="A18" i="29"/>
  <c r="B19" i="29"/>
  <c r="L79" i="21"/>
  <c r="L66" i="21"/>
  <c r="L73" i="21"/>
  <c r="L65" i="21"/>
  <c r="I111" i="21"/>
  <c r="I158" i="21" s="1"/>
  <c r="H61" i="21"/>
  <c r="I61" i="21" s="1"/>
  <c r="I108" i="21" s="1"/>
  <c r="I89" i="12"/>
  <c r="C36" i="26" l="1"/>
  <c r="C37" i="26" s="1"/>
  <c r="I58" i="21"/>
  <c r="I160" i="21" s="1"/>
  <c r="A55" i="12"/>
  <c r="A56" i="12" s="1"/>
  <c r="A57" i="12" s="1"/>
  <c r="A58" i="12" s="1"/>
  <c r="A59" i="12" s="1"/>
  <c r="A60" i="12" s="1"/>
  <c r="A61" i="12" s="1"/>
  <c r="A62" i="12" s="1"/>
  <c r="A63" i="12" s="1"/>
  <c r="A64" i="12" s="1"/>
  <c r="A65" i="12" s="1"/>
  <c r="A66" i="12" s="1"/>
  <c r="A67" i="12" s="1"/>
  <c r="A68" i="12" s="1"/>
  <c r="A69" i="12" s="1"/>
  <c r="L43" i="21"/>
  <c r="L68" i="21"/>
  <c r="L70" i="21"/>
  <c r="L76" i="21"/>
  <c r="L111" i="21"/>
  <c r="A19" i="29"/>
  <c r="B20" i="29"/>
  <c r="L61" i="21"/>
  <c r="D9" i="27" l="1"/>
  <c r="C38" i="26"/>
  <c r="C39" i="26" s="1"/>
  <c r="C40" i="26" s="1"/>
  <c r="A20" i="29"/>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B21" i="29"/>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B46" i="29" s="1"/>
  <c r="B47" i="29" s="1"/>
  <c r="B48" i="29" s="1"/>
  <c r="B49" i="29" s="1"/>
  <c r="B50" i="29" s="1"/>
  <c r="B51" i="29" s="1"/>
  <c r="B52" i="29" s="1"/>
  <c r="B53" i="29" s="1"/>
  <c r="B54" i="29" s="1"/>
  <c r="B55" i="29" s="1"/>
  <c r="B56" i="29" s="1"/>
  <c r="B57" i="29" s="1"/>
  <c r="B58" i="29" s="1"/>
  <c r="B59" i="29" s="1"/>
  <c r="B60" i="29" s="1"/>
  <c r="B61" i="29" s="1"/>
  <c r="B62" i="29" s="1"/>
  <c r="B63" i="29" s="1"/>
  <c r="C41" i="26" l="1"/>
  <c r="C42" i="26" s="1"/>
  <c r="C43" i="26" s="1"/>
  <c r="C44" i="26" l="1"/>
  <c r="C45" i="26" s="1"/>
  <c r="C22" i="26" l="1"/>
  <c r="C23" i="26" s="1"/>
  <c r="H67" i="29"/>
  <c r="U32" i="29" l="1"/>
  <c r="D31" i="27"/>
  <c r="U19" i="29"/>
  <c r="U27" i="29"/>
  <c r="U35" i="29"/>
  <c r="U43" i="29"/>
  <c r="U51" i="29"/>
  <c r="U59" i="29"/>
  <c r="U26" i="29"/>
  <c r="U58" i="29"/>
  <c r="U20" i="29"/>
  <c r="U28" i="29"/>
  <c r="U36" i="29"/>
  <c r="U44" i="29"/>
  <c r="U52" i="29"/>
  <c r="U60" i="29"/>
  <c r="U34" i="29"/>
  <c r="U50" i="29"/>
  <c r="U21" i="29"/>
  <c r="U29" i="29"/>
  <c r="U37" i="29"/>
  <c r="U45" i="29"/>
  <c r="U53" i="29"/>
  <c r="U61" i="29"/>
  <c r="U22" i="29"/>
  <c r="U30" i="29"/>
  <c r="U38" i="29"/>
  <c r="U46" i="29"/>
  <c r="U54" i="29"/>
  <c r="U62" i="29"/>
  <c r="U23" i="29"/>
  <c r="U31" i="29"/>
  <c r="U39" i="29"/>
  <c r="U47" i="29"/>
  <c r="U55" i="29"/>
  <c r="U63" i="29"/>
  <c r="U24" i="29"/>
  <c r="U40" i="29"/>
  <c r="U48" i="29"/>
  <c r="U56" i="29"/>
  <c r="U17" i="29"/>
  <c r="U25" i="29"/>
  <c r="U33" i="29"/>
  <c r="U41" i="29"/>
  <c r="U49" i="29"/>
  <c r="U57" i="29"/>
  <c r="U18" i="29"/>
  <c r="U42" i="29"/>
  <c r="U67" i="29"/>
  <c r="H23" i="29"/>
  <c r="H31" i="29"/>
  <c r="H16" i="29"/>
  <c r="H26" i="29"/>
  <c r="H24" i="29"/>
  <c r="H32" i="29"/>
  <c r="H17" i="29"/>
  <c r="H25" i="29"/>
  <c r="H33" i="29"/>
  <c r="H18" i="29"/>
  <c r="H34" i="29"/>
  <c r="H19" i="29"/>
  <c r="H27" i="29"/>
  <c r="H35" i="29"/>
  <c r="H20" i="29"/>
  <c r="H28" i="29"/>
  <c r="H21" i="29"/>
  <c r="H29" i="29"/>
  <c r="H37" i="29"/>
  <c r="H22" i="29"/>
  <c r="H30" i="29"/>
  <c r="H38" i="29"/>
  <c r="H36" i="29"/>
  <c r="U64" i="29" l="1"/>
  <c r="H64" i="29"/>
  <c r="E88" i="25" l="1"/>
  <c r="F88" i="25" s="1"/>
  <c r="E90" i="25"/>
  <c r="F90" i="25" s="1"/>
  <c r="A121" i="11"/>
  <c r="A122" i="11" s="1"/>
  <c r="A123" i="11" s="1"/>
  <c r="A124" i="11" s="1"/>
  <c r="A125" i="11" s="1"/>
  <c r="A11" i="11"/>
  <c r="A12" i="11" s="1"/>
  <c r="A13" i="11" s="1"/>
  <c r="A14" i="11" s="1"/>
  <c r="A15" i="11" s="1"/>
  <c r="A16" i="11" s="1"/>
  <c r="A17" i="11" s="1"/>
  <c r="A18" i="11" s="1"/>
  <c r="F96" i="25" l="1"/>
  <c r="B104" i="25" s="1"/>
  <c r="G29" i="29"/>
  <c r="A145" i="11"/>
  <c r="A146" i="11" s="1"/>
  <c r="A147" i="11" s="1"/>
  <c r="A148" i="11" s="1"/>
  <c r="A149" i="11" s="1"/>
  <c r="A150" i="11" s="1"/>
  <c r="A151" i="11" s="1"/>
  <c r="A152" i="11" s="1"/>
  <c r="A153" i="11" s="1"/>
  <c r="A154" i="11" s="1"/>
  <c r="A127" i="11"/>
  <c r="A126" i="11"/>
  <c r="A128" i="11" s="1"/>
  <c r="A129" i="11" s="1"/>
  <c r="G26" i="29" l="1"/>
  <c r="G27" i="29"/>
  <c r="G28" i="29"/>
  <c r="B105" i="25"/>
  <c r="B106" i="25" l="1"/>
  <c r="B107" i="25"/>
  <c r="G64" i="29"/>
  <c r="B108" i="25" l="1"/>
  <c r="B109" i="25" s="1"/>
  <c r="B110" i="25" s="1"/>
  <c r="A55" i="11"/>
  <c r="A56" i="11" s="1"/>
  <c r="A57" i="11" s="1"/>
  <c r="A58" i="11" s="1"/>
  <c r="A59" i="11" s="1"/>
  <c r="A60" i="11" s="1"/>
  <c r="A61" i="11" s="1"/>
  <c r="A62" i="11" s="1"/>
  <c r="A63" i="11" s="1"/>
  <c r="A64" i="11" s="1"/>
  <c r="A65" i="11" s="1"/>
  <c r="A66" i="11" s="1"/>
  <c r="A67" i="11" s="1"/>
  <c r="B111" i="25" l="1"/>
  <c r="B112" i="25" s="1"/>
  <c r="B113" i="25" l="1"/>
  <c r="B114" i="25" s="1"/>
  <c r="B115" i="25" l="1"/>
  <c r="B116" i="25" s="1"/>
  <c r="B117" i="25" s="1"/>
  <c r="B118" i="25" l="1"/>
  <c r="B119" i="25" s="1"/>
  <c r="B120" i="25" l="1"/>
  <c r="B121" i="25" s="1"/>
  <c r="F97" i="25" l="1"/>
  <c r="F98" i="25" s="1"/>
  <c r="D12" i="27" s="1"/>
  <c r="D75" i="26" l="1"/>
  <c r="D30" i="27" s="1"/>
  <c r="T59" i="29" l="1"/>
  <c r="T63" i="29"/>
  <c r="T60" i="29"/>
  <c r="T62" i="29"/>
  <c r="T61" i="29"/>
  <c r="T58" i="29"/>
  <c r="T67" i="29"/>
  <c r="S64" i="29"/>
  <c r="T64" i="29" l="1"/>
  <c r="K67" i="29"/>
  <c r="K38" i="29" s="1"/>
  <c r="K17" i="29" l="1"/>
  <c r="K25" i="29"/>
  <c r="K33" i="29"/>
  <c r="K20" i="29"/>
  <c r="K29" i="29"/>
  <c r="K30" i="29"/>
  <c r="K18" i="29"/>
  <c r="K26" i="29"/>
  <c r="K34" i="29"/>
  <c r="K19" i="29"/>
  <c r="K27" i="29"/>
  <c r="K35" i="29"/>
  <c r="K28" i="29"/>
  <c r="K36" i="29"/>
  <c r="K37" i="29"/>
  <c r="K22" i="29"/>
  <c r="K23" i="29"/>
  <c r="K31" i="29"/>
  <c r="K16" i="29"/>
  <c r="K24" i="29"/>
  <c r="K32" i="29"/>
  <c r="K21" i="29"/>
  <c r="K64" i="29" l="1"/>
  <c r="C33" i="22"/>
  <c r="E23" i="22" s="1"/>
  <c r="E24" i="22" s="1"/>
  <c r="D39" i="22" s="1"/>
  <c r="D41" i="22" s="1"/>
  <c r="C39" i="22" l="1"/>
  <c r="C41" i="22" s="1"/>
  <c r="D28" i="27" s="1"/>
  <c r="D33" i="27" s="1"/>
  <c r="D10" i="27"/>
  <c r="R23" i="29" l="1"/>
  <c r="R24" i="29"/>
  <c r="R21" i="29"/>
  <c r="R25" i="29"/>
  <c r="R22" i="29"/>
  <c r="R27" i="29"/>
  <c r="R31" i="29"/>
  <c r="R35" i="29"/>
  <c r="R39" i="29"/>
  <c r="D39" i="29" s="1"/>
  <c r="R43" i="29"/>
  <c r="D43" i="29" s="1"/>
  <c r="R47" i="29"/>
  <c r="D47" i="29" s="1"/>
  <c r="R51" i="29"/>
  <c r="D51" i="29" s="1"/>
  <c r="R55" i="29"/>
  <c r="D55" i="29" s="1"/>
  <c r="R59" i="29"/>
  <c r="D59" i="29" s="1"/>
  <c r="R63" i="29"/>
  <c r="D63" i="29" s="1"/>
  <c r="R34" i="29"/>
  <c r="R46" i="29"/>
  <c r="D46" i="29" s="1"/>
  <c r="R58" i="29"/>
  <c r="D58" i="29" s="1"/>
  <c r="R28" i="29"/>
  <c r="R32" i="29"/>
  <c r="R36" i="29"/>
  <c r="R40" i="29"/>
  <c r="D40" i="29" s="1"/>
  <c r="R44" i="29"/>
  <c r="D44" i="29" s="1"/>
  <c r="R48" i="29"/>
  <c r="D48" i="29" s="1"/>
  <c r="R52" i="29"/>
  <c r="D52" i="29" s="1"/>
  <c r="R56" i="29"/>
  <c r="D56" i="29" s="1"/>
  <c r="R60" i="29"/>
  <c r="D60" i="29" s="1"/>
  <c r="R30" i="29"/>
  <c r="R38" i="29"/>
  <c r="R50" i="29"/>
  <c r="D50" i="29" s="1"/>
  <c r="R62" i="29"/>
  <c r="D62" i="29" s="1"/>
  <c r="R29" i="29"/>
  <c r="R33" i="29"/>
  <c r="R37" i="29"/>
  <c r="R41" i="29"/>
  <c r="D41" i="29" s="1"/>
  <c r="R45" i="29"/>
  <c r="D45" i="29" s="1"/>
  <c r="R49" i="29"/>
  <c r="D49" i="29" s="1"/>
  <c r="R53" i="29"/>
  <c r="D53" i="29" s="1"/>
  <c r="R57" i="29"/>
  <c r="D57" i="29" s="1"/>
  <c r="R61" i="29"/>
  <c r="D61" i="29" s="1"/>
  <c r="R26" i="29"/>
  <c r="R42" i="29"/>
  <c r="D42" i="29" s="1"/>
  <c r="R54" i="29"/>
  <c r="D54" i="29" s="1"/>
  <c r="D13" i="27"/>
  <c r="I67" i="29"/>
  <c r="D21" i="27" l="1"/>
  <c r="D17" i="27"/>
  <c r="D20" i="27"/>
  <c r="P67" i="29" s="1"/>
  <c r="P35" i="29" s="1"/>
  <c r="D16" i="27"/>
  <c r="D23" i="27" s="1"/>
  <c r="D25" i="27" s="1"/>
  <c r="D37" i="27" s="1"/>
  <c r="D19" i="27"/>
  <c r="D18" i="27"/>
  <c r="R64" i="29"/>
  <c r="E43" i="29"/>
  <c r="F43" i="29" s="1"/>
  <c r="E51" i="29"/>
  <c r="F51" i="29" s="1"/>
  <c r="E59" i="29"/>
  <c r="F59" i="29" s="1"/>
  <c r="E44" i="29"/>
  <c r="F44" i="29" s="1"/>
  <c r="E52" i="29"/>
  <c r="F52" i="29" s="1"/>
  <c r="E60" i="29"/>
  <c r="F60" i="29" s="1"/>
  <c r="E40" i="29"/>
  <c r="F40" i="29" s="1"/>
  <c r="E56" i="29"/>
  <c r="F56" i="29" s="1"/>
  <c r="E42" i="29"/>
  <c r="F42" i="29" s="1"/>
  <c r="E58" i="29"/>
  <c r="F58" i="29" s="1"/>
  <c r="E45" i="29"/>
  <c r="F45" i="29" s="1"/>
  <c r="E53" i="29"/>
  <c r="F53" i="29" s="1"/>
  <c r="E61" i="29"/>
  <c r="F61" i="29" s="1"/>
  <c r="E46" i="29"/>
  <c r="F46" i="29" s="1"/>
  <c r="E54" i="29"/>
  <c r="F54" i="29" s="1"/>
  <c r="E62" i="29"/>
  <c r="F62" i="29" s="1"/>
  <c r="E39" i="29"/>
  <c r="F39" i="29" s="1"/>
  <c r="E47" i="29"/>
  <c r="F47" i="29" s="1"/>
  <c r="E55" i="29"/>
  <c r="F55" i="29" s="1"/>
  <c r="E63" i="29"/>
  <c r="F63" i="29" s="1"/>
  <c r="E48" i="29"/>
  <c r="F48" i="29" s="1"/>
  <c r="E41" i="29"/>
  <c r="F41" i="29" s="1"/>
  <c r="E49" i="29"/>
  <c r="F49" i="29" s="1"/>
  <c r="E57" i="29"/>
  <c r="F57" i="29" s="1"/>
  <c r="E50" i="29"/>
  <c r="F50" i="29" s="1"/>
  <c r="I24" i="29"/>
  <c r="I22" i="29"/>
  <c r="I32" i="29"/>
  <c r="I21" i="29"/>
  <c r="I29" i="29"/>
  <c r="I30" i="29"/>
  <c r="I25" i="29"/>
  <c r="I27" i="29"/>
  <c r="I31" i="29"/>
  <c r="I28" i="29"/>
  <c r="I38" i="29"/>
  <c r="I26" i="29"/>
  <c r="I37" i="29"/>
  <c r="I33" i="29"/>
  <c r="I34" i="29"/>
  <c r="I35" i="29"/>
  <c r="I20" i="29"/>
  <c r="I23" i="29"/>
  <c r="I36" i="29"/>
  <c r="O67" i="29"/>
  <c r="O34" i="29" s="1"/>
  <c r="N67" i="29"/>
  <c r="N35" i="29" s="1"/>
  <c r="Q67" i="29"/>
  <c r="M67" i="29"/>
  <c r="Q38" i="29" l="1"/>
  <c r="Q37" i="29"/>
  <c r="R67" i="29"/>
  <c r="L67" i="29"/>
  <c r="P33" i="29"/>
  <c r="P22" i="29"/>
  <c r="P38" i="29"/>
  <c r="P23" i="29"/>
  <c r="P19" i="29"/>
  <c r="P27" i="29"/>
  <c r="P21" i="29"/>
  <c r="P34" i="29"/>
  <c r="P15" i="29"/>
  <c r="P30" i="29"/>
  <c r="P36" i="29"/>
  <c r="P28" i="29"/>
  <c r="P26" i="29"/>
  <c r="P29" i="29"/>
  <c r="P31" i="29"/>
  <c r="P37" i="29"/>
  <c r="P20" i="29"/>
  <c r="P24" i="29"/>
  <c r="P17" i="29"/>
  <c r="P25" i="29"/>
  <c r="P18" i="29"/>
  <c r="P16" i="29"/>
  <c r="P32" i="29"/>
  <c r="Q18" i="29"/>
  <c r="Q24" i="29"/>
  <c r="Q33" i="29"/>
  <c r="Q23" i="29"/>
  <c r="Q35" i="29"/>
  <c r="Q19" i="29"/>
  <c r="Q36" i="29"/>
  <c r="Q20" i="29"/>
  <c r="Q31" i="29"/>
  <c r="Q17" i="29"/>
  <c r="Q34" i="29"/>
  <c r="Q15" i="29"/>
  <c r="Q25" i="29"/>
  <c r="Q32" i="29"/>
  <c r="Q29" i="29"/>
  <c r="Q16" i="29"/>
  <c r="Q28" i="29"/>
  <c r="Q26" i="29"/>
  <c r="Q30" i="29"/>
  <c r="Q21" i="29"/>
  <c r="Q27" i="29"/>
  <c r="Q22" i="29"/>
  <c r="N32" i="29"/>
  <c r="N17" i="29"/>
  <c r="N27" i="29"/>
  <c r="N21" i="29"/>
  <c r="N19" i="29"/>
  <c r="N36" i="29"/>
  <c r="N22" i="29"/>
  <c r="N33" i="29"/>
  <c r="N15" i="29"/>
  <c r="N26" i="29"/>
  <c r="N24" i="29"/>
  <c r="N18" i="29"/>
  <c r="N16" i="29"/>
  <c r="N29" i="29"/>
  <c r="N20" i="29"/>
  <c r="N34" i="29"/>
  <c r="N31" i="29"/>
  <c r="N30" i="29"/>
  <c r="N37" i="29"/>
  <c r="N25" i="29"/>
  <c r="N28" i="29"/>
  <c r="N38" i="29"/>
  <c r="N23" i="29"/>
  <c r="O22" i="29"/>
  <c r="O24" i="29"/>
  <c r="O21" i="29"/>
  <c r="O31" i="29"/>
  <c r="O23" i="29"/>
  <c r="O36" i="29"/>
  <c r="O18" i="29"/>
  <c r="O37" i="29"/>
  <c r="O19" i="29"/>
  <c r="O25" i="29"/>
  <c r="O35" i="29"/>
  <c r="O27" i="29"/>
  <c r="O17" i="29"/>
  <c r="O29" i="29"/>
  <c r="O38" i="29"/>
  <c r="O28" i="29"/>
  <c r="O30" i="29"/>
  <c r="O33" i="29"/>
  <c r="O32" i="29"/>
  <c r="O26" i="29"/>
  <c r="O20" i="29"/>
  <c r="O16" i="29"/>
  <c r="O15" i="29"/>
  <c r="I64" i="29"/>
  <c r="M25" i="29"/>
  <c r="M36" i="29"/>
  <c r="M16" i="29"/>
  <c r="M27" i="29"/>
  <c r="M29" i="29"/>
  <c r="M21" i="29"/>
  <c r="M28" i="29"/>
  <c r="M20" i="29"/>
  <c r="M18" i="29"/>
  <c r="M31" i="29"/>
  <c r="M23" i="29"/>
  <c r="M19" i="29"/>
  <c r="M32" i="29"/>
  <c r="M35" i="29"/>
  <c r="M38" i="29"/>
  <c r="M24" i="29"/>
  <c r="M30" i="29"/>
  <c r="M15" i="29"/>
  <c r="M34" i="29"/>
  <c r="M22" i="29"/>
  <c r="M26" i="29"/>
  <c r="M37" i="29"/>
  <c r="M33" i="29"/>
  <c r="M17" i="29"/>
  <c r="C24" i="1" l="1"/>
  <c r="D21" i="29"/>
  <c r="E21" i="29" s="1"/>
  <c r="F21" i="29" s="1"/>
  <c r="D23" i="29"/>
  <c r="E23" i="29" s="1"/>
  <c r="F23" i="29" s="1"/>
  <c r="D29" i="29"/>
  <c r="E29" i="29" s="1"/>
  <c r="F29" i="29" s="1"/>
  <c r="D30" i="29"/>
  <c r="E30" i="29" s="1"/>
  <c r="F30" i="29" s="1"/>
  <c r="D34" i="29"/>
  <c r="E34" i="29" s="1"/>
  <c r="F34" i="29" s="1"/>
  <c r="D32" i="29"/>
  <c r="E32" i="29" s="1"/>
  <c r="F32" i="29" s="1"/>
  <c r="D28" i="29"/>
  <c r="E28" i="29" s="1"/>
  <c r="F28" i="29" s="1"/>
  <c r="D24" i="29"/>
  <c r="E24" i="29" s="1"/>
  <c r="F24" i="29" s="1"/>
  <c r="D20" i="29"/>
  <c r="E20" i="29" s="1"/>
  <c r="F20" i="29" s="1"/>
  <c r="D33" i="29"/>
  <c r="E33" i="29" s="1"/>
  <c r="F33" i="29" s="1"/>
  <c r="D36" i="29"/>
  <c r="E36" i="29" s="1"/>
  <c r="F36" i="29" s="1"/>
  <c r="D35" i="29"/>
  <c r="E35" i="29" s="1"/>
  <c r="F35" i="29" s="1"/>
  <c r="D37" i="29"/>
  <c r="E37" i="29" s="1"/>
  <c r="F37" i="29" s="1"/>
  <c r="D26" i="29"/>
  <c r="E26" i="29" s="1"/>
  <c r="D25" i="29"/>
  <c r="E25" i="29" s="1"/>
  <c r="F25" i="29" s="1"/>
  <c r="D17" i="29"/>
  <c r="E17" i="29" s="1"/>
  <c r="F17" i="29" s="1"/>
  <c r="D22" i="29"/>
  <c r="E22" i="29" s="1"/>
  <c r="F22" i="29" s="1"/>
  <c r="D19" i="29"/>
  <c r="E19" i="29" s="1"/>
  <c r="F19" i="29" s="1"/>
  <c r="D27" i="29"/>
  <c r="E27" i="29" s="1"/>
  <c r="F27" i="29" s="1"/>
  <c r="D31" i="29"/>
  <c r="E31" i="29" s="1"/>
  <c r="F31" i="29" s="1"/>
  <c r="D15" i="29"/>
  <c r="D18" i="29"/>
  <c r="E18" i="29" s="1"/>
  <c r="F18" i="29" s="1"/>
  <c r="N64" i="29"/>
  <c r="M64" i="29"/>
  <c r="O64" i="29"/>
  <c r="P64" i="29"/>
  <c r="Q64" i="29"/>
  <c r="L38" i="29"/>
  <c r="L16" i="29"/>
  <c r="D16" i="29" s="1"/>
  <c r="D38" i="29" l="1"/>
  <c r="D64" i="29" s="1"/>
  <c r="F26" i="29"/>
  <c r="L64" i="29"/>
  <c r="E16" i="29"/>
  <c r="F16" i="29" s="1"/>
  <c r="E15" i="29"/>
  <c r="F15" i="29"/>
  <c r="E38" i="29" l="1"/>
  <c r="F38" i="29" s="1"/>
  <c r="F64" i="29" s="1"/>
  <c r="F3" i="29" s="1"/>
  <c r="D39" i="27" l="1"/>
  <c r="C26" i="1" s="1"/>
  <c r="E64"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Partridge</author>
  </authors>
  <commentList>
    <comment ref="E15" authorId="0" shapeId="0" xr:uid="{00000000-0006-0000-1A00-000001000000}">
      <text>
        <r>
          <rPr>
            <b/>
            <sz val="8"/>
            <color indexed="81"/>
            <rFont val="Tahoma"/>
            <family val="2"/>
          </rPr>
          <t>David Partridge:</t>
        </r>
        <r>
          <rPr>
            <sz val="8"/>
            <color indexed="81"/>
            <rFont val="Tahoma"/>
            <family val="2"/>
          </rPr>
          <t xml:space="preserve">
No Escalation or Discount Rate used in year 0.</t>
        </r>
      </text>
    </comment>
  </commentList>
</comments>
</file>

<file path=xl/sharedStrings.xml><?xml version="1.0" encoding="utf-8"?>
<sst xmlns="http://schemas.openxmlformats.org/spreadsheetml/2006/main" count="2660" uniqueCount="996">
  <si>
    <t>FINANCIAL ASSURANCE AMOUNT CALCULATION</t>
  </si>
  <si>
    <t>Questa Mine Site</t>
  </si>
  <si>
    <t>Chevron Mining Inc.</t>
  </si>
  <si>
    <t>General Information</t>
  </si>
  <si>
    <t>Applicant</t>
  </si>
  <si>
    <t>Contact:</t>
  </si>
  <si>
    <t>PO Box 469</t>
  </si>
  <si>
    <t>Questa, NM 87556</t>
  </si>
  <si>
    <t>Permit Number</t>
  </si>
  <si>
    <t>TA001RE</t>
  </si>
  <si>
    <t>Surface Area Permitted</t>
  </si>
  <si>
    <t>3,966 acres</t>
  </si>
  <si>
    <t>Disturbed Surface Area</t>
  </si>
  <si>
    <t>~1,200 acres</t>
  </si>
  <si>
    <t>Type of Operation</t>
  </si>
  <si>
    <t>Existing/Surface/Underground/Molybdenum</t>
  </si>
  <si>
    <t>Location</t>
  </si>
  <si>
    <t>Questa</t>
  </si>
  <si>
    <t>Prepared by</t>
  </si>
  <si>
    <t>Updated</t>
  </si>
  <si>
    <t>Financial Assurance (Current Cost Basis)</t>
  </si>
  <si>
    <t>Financial Assurance  (Net Present Value)</t>
  </si>
  <si>
    <t>Based on MMD guidance for rate resources</t>
  </si>
  <si>
    <t>Worksheet #1</t>
  </si>
  <si>
    <t>Reclamation Description</t>
  </si>
  <si>
    <t>Describe worst-case reclamation scenario:</t>
  </si>
  <si>
    <t>Earthmoving</t>
  </si>
  <si>
    <t>Capulin</t>
  </si>
  <si>
    <t>Pushdown w/ dozers all cut material; import additional</t>
  </si>
  <si>
    <t>cut material from other rock pile</t>
  </si>
  <si>
    <t>Goat Hill North</t>
  </si>
  <si>
    <t>Goat Hill South</t>
  </si>
  <si>
    <t>Pushdown w/ dozers a portion of cut material; export remainder of</t>
  </si>
  <si>
    <t>cut material to other rock pile</t>
  </si>
  <si>
    <t>Sugar Shack West</t>
  </si>
  <si>
    <t>Sugar Shack South</t>
  </si>
  <si>
    <t>cut material to mound at top of Middle rock pile</t>
  </si>
  <si>
    <t>Middle</t>
  </si>
  <si>
    <t>cut material to expansion of Sulphur Gulch rock pile</t>
  </si>
  <si>
    <t>Sulphur Gulch</t>
  </si>
  <si>
    <t>Blind Gulch</t>
  </si>
  <si>
    <t>Spring Gulch borrow</t>
  </si>
  <si>
    <t>(8 million cy available)</t>
  </si>
  <si>
    <t>Sugar Shack West, Sugar Shack South, Middle,</t>
  </si>
  <si>
    <t>Sulphur Gulch, and Blind Gulch rock piles</t>
  </si>
  <si>
    <t>Spring Gulch</t>
  </si>
  <si>
    <t>After cover material removed, pushdown w/ dozers any high walls</t>
  </si>
  <si>
    <t>remaining and backfill as necessary for required slope</t>
  </si>
  <si>
    <t>Ripping, Grading, and Revegetation</t>
  </si>
  <si>
    <t>Grade rock pile material in backfill portion</t>
  </si>
  <si>
    <t>Rip excavated and complete removal portions</t>
  </si>
  <si>
    <t>Revegetate entire unit</t>
  </si>
  <si>
    <t>Rip excavated portion</t>
  </si>
  <si>
    <t>Grade excavated portion to stair-step configuration</t>
  </si>
  <si>
    <t>Sugar Shack South,</t>
  </si>
  <si>
    <t>Middle, and</t>
  </si>
  <si>
    <t>Sulphur Gulch South</t>
  </si>
  <si>
    <t>Rip excavated, complete removal, no removal, &amp; angle-of-repose portions</t>
  </si>
  <si>
    <t>Sulphur Gulch North</t>
  </si>
  <si>
    <t>Grade excavated portion</t>
  </si>
  <si>
    <t>Rip entire unit</t>
  </si>
  <si>
    <t>Grade entire unit</t>
  </si>
  <si>
    <t>Truck Shop</t>
  </si>
  <si>
    <t>Pit</t>
  </si>
  <si>
    <t>Grade backfill material</t>
  </si>
  <si>
    <t xml:space="preserve">Revegetate pit bottom by conventional, hand planting, and </t>
  </si>
  <si>
    <t>Roads</t>
  </si>
  <si>
    <t>Rip and revegetate</t>
  </si>
  <si>
    <t>Other</t>
  </si>
  <si>
    <t>Erosion control program</t>
  </si>
  <si>
    <t>Road maintenance program</t>
  </si>
  <si>
    <t>Screening Plant</t>
  </si>
  <si>
    <t>Restore pit rim north haul road</t>
  </si>
  <si>
    <t>Excavate erosion control ditches</t>
  </si>
  <si>
    <t>Worksheet #1a</t>
  </si>
  <si>
    <t>Reclamation Design Approach</t>
  </si>
  <si>
    <t>Assumptions</t>
  </si>
  <si>
    <t>Diesel Fuel Cost</t>
  </si>
  <si>
    <t>/gallon</t>
  </si>
  <si>
    <t>Indirect Cost Percentages</t>
  </si>
  <si>
    <t>Mobilization/Demobilization</t>
  </si>
  <si>
    <t>Contingencies</t>
  </si>
  <si>
    <t>Engineering Redesign Fee</t>
  </si>
  <si>
    <t>Contractor Profit and Overhead</t>
  </si>
  <si>
    <t>Project Management Fee</t>
  </si>
  <si>
    <t>MMD Procurement Fee</t>
  </si>
  <si>
    <t>TOTAL</t>
  </si>
  <si>
    <t>Typical Rock pile Outslope Cross-Section, Reclaimed</t>
  </si>
  <si>
    <t>See closeout plan narrative, site plans, and Molycorp cut-fill analysis</t>
  </si>
  <si>
    <t>Constraints, Existing Rock pile Toe Perimeters</t>
  </si>
  <si>
    <t>NM State Hwy 38</t>
  </si>
  <si>
    <t>Rock pile regrading and hauling assumptions</t>
  </si>
  <si>
    <t>Based on Molycorp cut-fill analyses of Dec 4 &amp; 26, 2001</t>
  </si>
  <si>
    <t>Dozer pushdown volumes for Sugar Shack West, Sugar Shack South, and Goathill South</t>
  </si>
  <si>
    <t>are based on calculated fill volumes of Dec 26th cut-fill analysis;</t>
  </si>
  <si>
    <t>there is excess cut to be removed</t>
  </si>
  <si>
    <t>Dozer pushdown volumes for Middle and Sulphur Gulch are based on fill volumes of Dec 4th cut-fill</t>
  </si>
  <si>
    <t>analysis where toe backfill volumes, but not mounding volumes,</t>
  </si>
  <si>
    <t>were calculated</t>
  </si>
  <si>
    <t>Dozer pushdown volumes for Capulin, Goathill North, Blind Gulch, and Spring Gulch</t>
  </si>
  <si>
    <t>are based on calculated cut volumes of Dec 26th cut-fill analysis;</t>
  </si>
  <si>
    <t>all cut is needed for fill</t>
  </si>
  <si>
    <t>Excess cut will be hauled by trucks to nearest rock pile having fill capacity</t>
  </si>
  <si>
    <t>Cover removal from Spring Gulch will occur before regrading to the required surface configuration</t>
  </si>
  <si>
    <t xml:space="preserve">No import of waste material fill is needed for Spring Gulch because cover removal from Spring Gulch </t>
  </si>
  <si>
    <t>will be conducted in an efficient manner to minimize steep slope</t>
  </si>
  <si>
    <t>features, enabling the required surface configuration to be achieved</t>
  </si>
  <si>
    <t>by dozer pushdown of Spring Gulch material</t>
  </si>
  <si>
    <t>Fill volume calculated for Blind Gulch is high, based on Dec 26th cut-fill analysis, because existing</t>
  </si>
  <si>
    <t>slopes of backfill areas near crest are flatter than 3:1</t>
  </si>
  <si>
    <t xml:space="preserve">A portion of Blind Gulch excess cut material near toe will be hauled to backfill areas near crest.  </t>
  </si>
  <si>
    <t>Revegetation</t>
  </si>
  <si>
    <t>Conventional</t>
  </si>
  <si>
    <t>/acre</t>
  </si>
  <si>
    <t>Hydroseeding</t>
  </si>
  <si>
    <t>Failure Rate</t>
  </si>
  <si>
    <t>/year over 12 years = 60% total</t>
  </si>
  <si>
    <t>Location Adjustment for demolition and misc.</t>
  </si>
  <si>
    <t>(Santa Fe)</t>
  </si>
  <si>
    <t>Bulldozer model</t>
  </si>
  <si>
    <t>Cat D11</t>
  </si>
  <si>
    <t>Loader model</t>
  </si>
  <si>
    <t>Cat 5230 front shovel</t>
  </si>
  <si>
    <t>Truck model</t>
  </si>
  <si>
    <t>Cat 785</t>
  </si>
  <si>
    <t>Motorgrader model</t>
  </si>
  <si>
    <t>Cat 16H</t>
  </si>
  <si>
    <t>Altitude Deration Factor</t>
  </si>
  <si>
    <t>all models</t>
  </si>
  <si>
    <t>flywheel hp available at up to 7,500 feet</t>
  </si>
  <si>
    <t>flywheel hp available, 7,500-10,000 feet</t>
  </si>
  <si>
    <t>Cat 5230</t>
  </si>
  <si>
    <t>Loader Bucket Fill Factor</t>
  </si>
  <si>
    <t>85%-105%, depending on conditions</t>
  </si>
  <si>
    <t>Dozer blade</t>
  </si>
  <si>
    <t>Semi-universal</t>
  </si>
  <si>
    <t>Dozer pushdown distance</t>
  </si>
  <si>
    <t>average horizontal distance between existing and resloped surfaces</t>
  </si>
  <si>
    <t>Dozer pushdown compaction</t>
  </si>
  <si>
    <t>cut density = fill density</t>
  </si>
  <si>
    <t>Rolling Resistance</t>
  </si>
  <si>
    <t>for a dirt roadway, rutted or flexing under load, little</t>
  </si>
  <si>
    <t>maintenance, no water, 2" tire penetration or flexing.</t>
  </si>
  <si>
    <t>Total outslopes push distance</t>
  </si>
  <si>
    <t>centroid of cut slice to centroid of fill slice</t>
  </si>
  <si>
    <t>Mine-Mill-Service Areas</t>
  </si>
  <si>
    <t>All equipment and above-grade structures will be demolished</t>
  </si>
  <si>
    <t xml:space="preserve">     and removed from areas.  50% of total area</t>
  </si>
  <si>
    <t xml:space="preserve">     will be covered with 3' of borrow material to account for</t>
  </si>
  <si>
    <t xml:space="preserve">     foundations and remaining 50% will be ripped to 2' depth.</t>
  </si>
  <si>
    <t>average width is 25 feet</t>
  </si>
  <si>
    <t>Maintenance crew provided for 42 years</t>
  </si>
  <si>
    <t>Erosion Control</t>
  </si>
  <si>
    <t>Equipment rented and on-site for years 8 through 18</t>
  </si>
  <si>
    <t>Worksheet #1b</t>
  </si>
  <si>
    <t>Reclamation Design Approach - Adjustments for 2005 Cost Estimate</t>
  </si>
  <si>
    <t>Prepared by Molycorp</t>
  </si>
  <si>
    <t>2005</t>
  </si>
  <si>
    <t>The 2005 cost estimate design approach remains the same as the 2001 cost estimate except as noted below:</t>
  </si>
  <si>
    <t>Direct Cost</t>
  </si>
  <si>
    <t xml:space="preserve">Earthwork Equipment Costs have been updated - Per 2005 owning and operating costs from </t>
  </si>
  <si>
    <t>Primedia Cost Reference Guide for Construction Equipment - January 2005</t>
  </si>
  <si>
    <t>Labor Costs have been updated - Per NM Public Works - Wage Rates - January 2005</t>
  </si>
  <si>
    <t>Other Direct Cost Items:</t>
  </si>
  <si>
    <t>The additional items totaling $4.976MM which were added by MMD to the 2001 cost estimate are</t>
  </si>
  <si>
    <t>incorporated into this estimate detail.</t>
  </si>
  <si>
    <t>Adjusted to $1.465/gallon for 2005 cost basis</t>
  </si>
  <si>
    <t>Remain as per 2001 estimate</t>
  </si>
  <si>
    <t>NPV Methodology</t>
  </si>
  <si>
    <t>Based on MMD examples provided</t>
  </si>
  <si>
    <t>Inflation Rates</t>
  </si>
  <si>
    <t>Based on Chevron Mining Inc. research using public available indices</t>
  </si>
  <si>
    <t>Discount Rates</t>
  </si>
  <si>
    <t xml:space="preserve">that reflect conservative investment approaches utilized for </t>
  </si>
  <si>
    <t>Water Treatment Plant</t>
  </si>
  <si>
    <t>Added from NMED 07/24/00, Revision 1, Cost Estimate Documents</t>
  </si>
  <si>
    <t>Water Treatment O&amp;M</t>
  </si>
  <si>
    <t>Seepage Collection System</t>
  </si>
  <si>
    <t>Seepage Collection O&amp;M</t>
  </si>
  <si>
    <t xml:space="preserve">Remain as per 2001 estimate with the exception that the pushdown volume on the </t>
  </si>
  <si>
    <t>Goathill North rock pile is considered complete based on the work performed for</t>
  </si>
  <si>
    <t>the Goathill North Rock Pile Mitigation Project 2004/2005</t>
  </si>
  <si>
    <t>Location Adjustment Factor Revised to :</t>
  </si>
  <si>
    <t>(875XX Zip Code - Means 2003 Environmental Remediation)</t>
  </si>
  <si>
    <t>Dozer ripper</t>
  </si>
  <si>
    <t>(Added in 2005)</t>
  </si>
  <si>
    <t>Adjustable Parallelogram</t>
  </si>
  <si>
    <t>Equipment rented and on-site for years 1 through 14</t>
  </si>
  <si>
    <t>Use is for road material, drainage material and cover material</t>
  </si>
  <si>
    <t>Worksheet #1c</t>
  </si>
  <si>
    <t>Reclamation Design Approach - Adjustments for 2007 Cost Estimate</t>
  </si>
  <si>
    <t>Assumptions:</t>
  </si>
  <si>
    <t>The 2007 cost estimate update uses the design approach from the 2001 cost estimate except as noted below:</t>
  </si>
  <si>
    <t>Costs were updated from the August 1, 2005 cost estimate in the URS Submittal.</t>
  </si>
  <si>
    <t xml:space="preserve">Earthwork Equipment Costs have been updated - Per 2007 owning and operating costs from </t>
  </si>
  <si>
    <t>Primedia Cost Reference Guide for Construction Equipment - April 2007</t>
  </si>
  <si>
    <t>Labor Costs have been updated - Per NM Public Works - Wage Rates - June 2006</t>
  </si>
  <si>
    <t>The additional items totaling $4.976MM which were added by MMD to the 2001 cost estimate were</t>
  </si>
  <si>
    <t>incorporated into the 2005 estimate detail and remain in this 2007 estimate.</t>
  </si>
  <si>
    <t>Adjusted to $2.53/gallon for an April 2007 cost basis</t>
  </si>
  <si>
    <t>Based on examples provided in 2005 MMD workshop</t>
  </si>
  <si>
    <t>Typical Rock Pile Outslope Cross-Section, Reclaimed</t>
  </si>
  <si>
    <t xml:space="preserve">Goathill North rock pile has been removed as this portion of the work is considered complete based </t>
  </si>
  <si>
    <t>on the work performed for the Goathill North Rock Pile Mitigation Project 2004/2005</t>
  </si>
  <si>
    <t>Remain as per 2001 estimate, inflated for 2007 costs</t>
  </si>
  <si>
    <t>Worksheet #1d</t>
  </si>
  <si>
    <t>Reclamation Design Approach - Adjustments for 2010 Cost Estimate</t>
  </si>
  <si>
    <t>Prepared by URS</t>
  </si>
  <si>
    <t>The 2010 cost estimate update uses the design approach from the 2001 cost estimate except as noted below:</t>
  </si>
  <si>
    <t xml:space="preserve">Earthwork Equipment Costs have been updated - Per 2010 owning and operating costs from </t>
  </si>
  <si>
    <t>(Primedia) Equipment Watch - Rental Rater Blue Book - April 2010</t>
  </si>
  <si>
    <t>Labor Costs have been updated - Per NM Public Works - Wage Rates - January 2010</t>
  </si>
  <si>
    <t>These are inflated from 2001 cost estimate basis to a 2010 cost basis using a compounded inflation</t>
  </si>
  <si>
    <t>rate based on the Consumer Price Index (see worksheet tab #21 for details)</t>
  </si>
  <si>
    <t>incorporated into the 2005 estimate detail and remain in this 2010 estimate.</t>
  </si>
  <si>
    <t>Adjusted to $2.65/gallon for an April 2010 cost basis</t>
  </si>
  <si>
    <t xml:space="preserve">Per Alta Fuels - Alamosa, CO </t>
  </si>
  <si>
    <t>Based on MMD Guidance to Mine Operators for Calculating Reclamation</t>
  </si>
  <si>
    <t>Costs in Net Present Value, December 29, 2004.</t>
  </si>
  <si>
    <t>Based on Chevron Mining Inc. research using public available indices that reflect</t>
  </si>
  <si>
    <t>the type of work/costs involved in these activities, using MMD guidance for rate resources.</t>
  </si>
  <si>
    <t>conservative investment approaches utilized for investment purposes, using</t>
  </si>
  <si>
    <t>MMD guidance for rate resources.</t>
  </si>
  <si>
    <t>For detail see worksheet tab #22</t>
  </si>
  <si>
    <t>Remain as per 2001 estimate, inflated for 2010 costs</t>
  </si>
  <si>
    <t>(875XX Zip Code - RSMeans 2010 Area Factor)</t>
  </si>
  <si>
    <t>The 2011 cost estimate update uses the design approach from the 2001 cost estimate except as noted below:</t>
  </si>
  <si>
    <t>Amendments</t>
  </si>
  <si>
    <t>Replaced lime addition with amendment mixture constistent with the USEPA 2010 Final</t>
  </si>
  <si>
    <t>Record of Decision, based on 2009 Feasibility Study</t>
  </si>
  <si>
    <t>Worksheet #2</t>
  </si>
  <si>
    <t>Demolition</t>
  </si>
  <si>
    <t>Adjusted</t>
  </si>
  <si>
    <t>Footprint</t>
  </si>
  <si>
    <t>Stories</t>
  </si>
  <si>
    <t>Unit</t>
  </si>
  <si>
    <t>Item</t>
  </si>
  <si>
    <t>Description</t>
  </si>
  <si>
    <t>Material</t>
  </si>
  <si>
    <t>Area</t>
  </si>
  <si>
    <t>(1 story</t>
  </si>
  <si>
    <t>Quantity</t>
  </si>
  <si>
    <t>Cost</t>
  </si>
  <si>
    <t>Means</t>
  </si>
  <si>
    <t>(sqft)</t>
  </si>
  <si>
    <t>= 10 ft)</t>
  </si>
  <si>
    <t>($/unit)</t>
  </si>
  <si>
    <t>($)</t>
  </si>
  <si>
    <t>Reference</t>
  </si>
  <si>
    <t>Line Item</t>
  </si>
  <si>
    <t>Buildings to be demolished:</t>
  </si>
  <si>
    <t>to remain after closeout ---water treatment infrastructure</t>
  </si>
  <si>
    <t>steel</t>
  </si>
  <si>
    <t>Office</t>
  </si>
  <si>
    <t>Admin Bldg</t>
  </si>
  <si>
    <t>Total Cost (2001)</t>
  </si>
  <si>
    <t>Compounded Inflation</t>
  </si>
  <si>
    <t>/ yr</t>
  </si>
  <si>
    <t>Data Sources:</t>
  </si>
  <si>
    <t>Annual</t>
  </si>
  <si>
    <t>Inflation</t>
  </si>
  <si>
    <t>Location adjustment</t>
  </si>
  <si>
    <t>Spread</t>
  </si>
  <si>
    <t>Rock Pile</t>
  </si>
  <si>
    <t>Equipment</t>
  </si>
  <si>
    <t>feet</t>
  </si>
  <si>
    <t>(ft)</t>
  </si>
  <si>
    <t>Grade</t>
  </si>
  <si>
    <t>Worksheet #3</t>
  </si>
  <si>
    <t>Material Handling Plan Summary Sheet</t>
  </si>
  <si>
    <t>Total</t>
  </si>
  <si>
    <t>Haul</t>
  </si>
  <si>
    <t>Location 1</t>
  </si>
  <si>
    <t>Location 2</t>
  </si>
  <si>
    <t>Distance</t>
  </si>
  <si>
    <t>(%)</t>
  </si>
  <si>
    <t>Pushdown existing outslopes</t>
  </si>
  <si>
    <t>Capulin RP</t>
  </si>
  <si>
    <t>Sugar Shack West RP</t>
  </si>
  <si>
    <t>Spring Gulch RP</t>
  </si>
  <si>
    <t>Load waste material on trucks</t>
  </si>
  <si>
    <t>see Loader</t>
  </si>
  <si>
    <t>Load cover material on trucks</t>
  </si>
  <si>
    <t>Haul waste material</t>
  </si>
  <si>
    <t>see Trucks</t>
  </si>
  <si>
    <t>Haul cover material</t>
  </si>
  <si>
    <t>Rip existing surface</t>
  </si>
  <si>
    <t>Grade rock pile surface</t>
  </si>
  <si>
    <t>Grade cover material</t>
  </si>
  <si>
    <t>Worksheet #4</t>
  </si>
  <si>
    <t>Earthwork Quantity Worksheet</t>
  </si>
  <si>
    <t>Cover</t>
  </si>
  <si>
    <t>Bank</t>
  </si>
  <si>
    <t>Swell</t>
  </si>
  <si>
    <t>Loose</t>
  </si>
  <si>
    <t>Depth</t>
  </si>
  <si>
    <t>Volume</t>
  </si>
  <si>
    <t>Factor</t>
  </si>
  <si>
    <t>(ac)</t>
  </si>
  <si>
    <t>(in)</t>
  </si>
  <si>
    <t>(bcy)</t>
  </si>
  <si>
    <t>(lcy)</t>
  </si>
  <si>
    <t>Sub-Total</t>
  </si>
  <si>
    <t>Worksheet #5</t>
  </si>
  <si>
    <t>Productivity and Hours Required for Dozer Use---Earthmoving</t>
  </si>
  <si>
    <t>PERFORMANCE FACTORS</t>
  </si>
  <si>
    <t>Double</t>
  </si>
  <si>
    <t>Production</t>
  </si>
  <si>
    <t>Average</t>
  </si>
  <si>
    <t>Direct</t>
  </si>
  <si>
    <t>Cut</t>
  </si>
  <si>
    <t>Task</t>
  </si>
  <si>
    <t>Soil</t>
  </si>
  <si>
    <t>Method/</t>
  </si>
  <si>
    <t>Push</t>
  </si>
  <si>
    <t>Normal</t>
  </si>
  <si>
    <t>Work</t>
  </si>
  <si>
    <t>Drive</t>
  </si>
  <si>
    <t>Task Description</t>
  </si>
  <si>
    <t>Productivity</t>
  </si>
  <si>
    <t>Time</t>
  </si>
  <si>
    <t>Weight</t>
  </si>
  <si>
    <t>Blade</t>
  </si>
  <si>
    <t>Operator</t>
  </si>
  <si>
    <t>Hour</t>
  </si>
  <si>
    <t>Visibility</t>
  </si>
  <si>
    <t>Elevation</t>
  </si>
  <si>
    <t>Trans.</t>
  </si>
  <si>
    <t>(cy)</t>
  </si>
  <si>
    <t>(cy/hr)</t>
  </si>
  <si>
    <t>(hours)</t>
  </si>
  <si>
    <t>(lb/cy)</t>
  </si>
  <si>
    <t>(feet)</t>
  </si>
  <si>
    <t>(min/hr)</t>
  </si>
  <si>
    <t>Worksheet #6</t>
  </si>
  <si>
    <t>Productivity and Hours Required for Dozer Use---Grading</t>
  </si>
  <si>
    <t>Effective</t>
  </si>
  <si>
    <t>Width</t>
  </si>
  <si>
    <t>Speed</t>
  </si>
  <si>
    <t>(acres)</t>
  </si>
  <si>
    <t>(acres/hr)</t>
  </si>
  <si>
    <t>(miles/hr)</t>
  </si>
  <si>
    <t>Worksheet #7</t>
  </si>
  <si>
    <t>Productivity and Hours Required for</t>
  </si>
  <si>
    <t xml:space="preserve">          Ripper-Equipped Dozer Use</t>
  </si>
  <si>
    <t>Ripping</t>
  </si>
  <si>
    <t>Ripper</t>
  </si>
  <si>
    <t>Pocket</t>
  </si>
  <si>
    <t>No. of</t>
  </si>
  <si>
    <t>Turn</t>
  </si>
  <si>
    <t>Length</t>
  </si>
  <si>
    <t>Penetration</t>
  </si>
  <si>
    <t>Spacing</t>
  </si>
  <si>
    <t>Pockets</t>
  </si>
  <si>
    <t>(min/pass)</t>
  </si>
  <si>
    <t>BOND AMOUNT CALCULATION</t>
  </si>
  <si>
    <t>New Mexico Mining and Minerals Division</t>
  </si>
  <si>
    <t>Worksheet #8</t>
  </si>
  <si>
    <t>Productivity and Hours Required for Loader Use</t>
  </si>
  <si>
    <t>Net</t>
  </si>
  <si>
    <t>Loader</t>
  </si>
  <si>
    <t>Heaped</t>
  </si>
  <si>
    <t>Bucket</t>
  </si>
  <si>
    <t>Cycle</t>
  </si>
  <si>
    <t>Fill</t>
  </si>
  <si>
    <t>Rolling</t>
  </si>
  <si>
    <t>Load</t>
  </si>
  <si>
    <t>Swing</t>
  </si>
  <si>
    <t>Dump</t>
  </si>
  <si>
    <t>Capacity</t>
  </si>
  <si>
    <t>Resistance</t>
  </si>
  <si>
    <t>Loaded</t>
  </si>
  <si>
    <t>Empty</t>
  </si>
  <si>
    <t>(min)</t>
  </si>
  <si>
    <t>NA</t>
  </si>
  <si>
    <t>Worksheet #9</t>
  </si>
  <si>
    <t>Productivity and Hours Required for Truck Use</t>
  </si>
  <si>
    <t>Cat Handbook</t>
  </si>
  <si>
    <t>Return</t>
  </si>
  <si>
    <t>Graph</t>
  </si>
  <si>
    <t>Truck</t>
  </si>
  <si>
    <t>Optimum</t>
  </si>
  <si>
    <t>Dump/</t>
  </si>
  <si>
    <t>Struck</t>
  </si>
  <si>
    <t>Cycles</t>
  </si>
  <si>
    <t>Loading</t>
  </si>
  <si>
    <t>Exchange</t>
  </si>
  <si>
    <t>Manuever</t>
  </si>
  <si>
    <t>Page 10-35</t>
  </si>
  <si>
    <t>Trucks</t>
  </si>
  <si>
    <t>per Truck</t>
  </si>
  <si>
    <t>Segment 1</t>
  </si>
  <si>
    <t>Segment 2</t>
  </si>
  <si>
    <t>(hrs/truck)</t>
  </si>
  <si>
    <t>Worksheet #10</t>
  </si>
  <si>
    <t>Productivity for Hydraulic Excavator Use (Backhoe or Power Shovel)</t>
  </si>
  <si>
    <t>Worksheet #11</t>
  </si>
  <si>
    <t>Productivity and Hours Required for Scraper Use</t>
  </si>
  <si>
    <t>Maneuver</t>
  </si>
  <si>
    <t>and</t>
  </si>
  <si>
    <t>Trip</t>
  </si>
  <si>
    <t>(loaded)</t>
  </si>
  <si>
    <t>(min/trip)</t>
  </si>
  <si>
    <t>Worksheet #12</t>
  </si>
  <si>
    <t>Productivity and Hours Required for Motorgrader Use---Grading</t>
  </si>
  <si>
    <t>Worksheet #13</t>
  </si>
  <si>
    <t>Summary Calculation of Earthmoving Costs</t>
  </si>
  <si>
    <t>Owning and</t>
  </si>
  <si>
    <t>Labor</t>
  </si>
  <si>
    <t>Prod.</t>
  </si>
  <si>
    <t>Type</t>
  </si>
  <si>
    <t>Operating Cost</t>
  </si>
  <si>
    <t>Req'd</t>
  </si>
  <si>
    <t>($/hr)</t>
  </si>
  <si>
    <t>(hrs)</t>
  </si>
  <si>
    <t>Dozers-Earthmoving</t>
  </si>
  <si>
    <t>cy</t>
  </si>
  <si>
    <t>Dozers-Grading</t>
  </si>
  <si>
    <t>ac</t>
  </si>
  <si>
    <t>Rippers</t>
  </si>
  <si>
    <t>Loaders</t>
  </si>
  <si>
    <t>Inflation Rate</t>
  </si>
  <si>
    <t>EQUIPMENT</t>
  </si>
  <si>
    <t>Equipment Description</t>
  </si>
  <si>
    <t>FUEL</t>
  </si>
  <si>
    <t>Current Diesel Cost (#2 Red Dyed)</t>
  </si>
  <si>
    <t>LABOR</t>
  </si>
  <si>
    <t>Rate</t>
  </si>
  <si>
    <t>Labor Description</t>
  </si>
  <si>
    <t>Worksheet #14</t>
  </si>
  <si>
    <t>Revegetation Costs</t>
  </si>
  <si>
    <t>Description:</t>
  </si>
  <si>
    <t>Subtotal</t>
  </si>
  <si>
    <t>Unit or Disturbance</t>
  </si>
  <si>
    <t>($/acre)</t>
  </si>
  <si>
    <t>Notes:</t>
  </si>
  <si>
    <t xml:space="preserve">1)  </t>
  </si>
  <si>
    <t>REVEGETATION MAINTENANCE</t>
  </si>
  <si>
    <t>Projected failure rate:</t>
  </si>
  <si>
    <t>/year</t>
  </si>
  <si>
    <t>Annual cost:</t>
  </si>
  <si>
    <t>MMD Coal Reclamation Program (1996)</t>
  </si>
  <si>
    <t>Worksheet #15</t>
  </si>
  <si>
    <t>Seepage Capture System - Construction Cost Estimate</t>
  </si>
  <si>
    <t>Goathill</t>
  </si>
  <si>
    <t>Direct Costs</t>
  </si>
  <si>
    <t>Worksheet #16</t>
  </si>
  <si>
    <t>Water Treatment - Construction Cost Estimate</t>
  </si>
  <si>
    <t xml:space="preserve"> </t>
  </si>
  <si>
    <t>ea</t>
  </si>
  <si>
    <t>Worksheet #17</t>
  </si>
  <si>
    <t>Other Reclamation Activity Costs</t>
  </si>
  <si>
    <t>Activity</t>
  </si>
  <si>
    <t xml:space="preserve">Other </t>
  </si>
  <si>
    <t>Restore pit north rim haul road</t>
  </si>
  <si>
    <t>LS</t>
  </si>
  <si>
    <t>---</t>
  </si>
  <si>
    <t>Erosion Control Ditches</t>
  </si>
  <si>
    <t>12.3-110-6920</t>
  </si>
  <si>
    <t>Excavation, trench, hydraulic backhoe, track mounted, 2:1 side slopes, 4' wide, 4' deep, 1/2 cy bucket</t>
  </si>
  <si>
    <t>Excavate Erosion Control Ditches, 100', Goat Hill South</t>
  </si>
  <si>
    <t>Excavate Erosion Control Ditches, 100', Sugar Shack West</t>
  </si>
  <si>
    <t>Excavate Erosion Control Ditches, 50', Sugar Shack West</t>
  </si>
  <si>
    <t>Excavate Erosion Control Ditches, 100', Sugar Shack South</t>
  </si>
  <si>
    <t>Excavate Erosion Control Ditches, 50', Sugar Shack South</t>
  </si>
  <si>
    <t>Excavate Erosion Control Ditches, 100', Middle</t>
  </si>
  <si>
    <t>Excavate Erosion Control Ditches, 50', Middle</t>
  </si>
  <si>
    <t>Excavate Erosion Control Ditches, 100', Sulphur Gulch</t>
  </si>
  <si>
    <t>Excavate Erosion Control Ditches, 100', Blind Gulch</t>
  </si>
  <si>
    <t>Excavate Erosion Control Ditches, 100', Spring Gulch</t>
  </si>
  <si>
    <t>Based on MMD - Worksheet 15a Draft - Cost Estimate 12/31/01</t>
  </si>
  <si>
    <t>Base Rate</t>
  </si>
  <si>
    <t>$/month</t>
  </si>
  <si>
    <t>Months/Year</t>
  </si>
  <si>
    <t>Worksheet #18</t>
  </si>
  <si>
    <t>Operation and Maintenance</t>
  </si>
  <si>
    <t>(Post construction activities)</t>
  </si>
  <si>
    <t>Seepage Capture System - O&amp;M Costs</t>
  </si>
  <si>
    <t>Based on NMED cost estimate 24-Jul-00</t>
  </si>
  <si>
    <t>See NMED documentation for design assumptions and details</t>
  </si>
  <si>
    <t>Pumping Volume (gpm)</t>
  </si>
  <si>
    <t>Erosion Control Maintenance</t>
  </si>
  <si>
    <t>$/day</t>
  </si>
  <si>
    <t>Days/Year</t>
  </si>
  <si>
    <t>Means Site Work and Landscaping Cost Data (2001)</t>
  </si>
  <si>
    <t>Grant, Ireson and Leavenworth, Principles of Engineering</t>
  </si>
  <si>
    <t>Road Maintenance</t>
  </si>
  <si>
    <t>Worksheet #19</t>
  </si>
  <si>
    <t>Reclamation Bond Summary</t>
  </si>
  <si>
    <t>Based on Molycorp Cut-Fill Analysis of December 26, 2001</t>
  </si>
  <si>
    <t>Questa Mine</t>
  </si>
  <si>
    <t>DIRECT COSTS</t>
  </si>
  <si>
    <t>Revegetation (Maintenance cost below in O&amp;M)</t>
  </si>
  <si>
    <t>Subtotal, Direct Costs</t>
  </si>
  <si>
    <t>INDIRECT COSTS</t>
  </si>
  <si>
    <t>State Procurement Cost</t>
  </si>
  <si>
    <t>Indirect Percentage Sum =</t>
  </si>
  <si>
    <t>Subtotal, Indirect Costs</t>
  </si>
  <si>
    <t>Total Construction Costs (Direct + Indirect)</t>
  </si>
  <si>
    <t>O&amp;M COSTS</t>
  </si>
  <si>
    <t>Revegetation Maintenance</t>
  </si>
  <si>
    <t>Seepage Capture System</t>
  </si>
  <si>
    <t>Total O&amp;M Costs (On Current Cost Basis)</t>
  </si>
  <si>
    <t>Total Assurance Amount (On Current Cost Basis)</t>
  </si>
  <si>
    <t>Total Assurance Amount (Net Present Value)</t>
  </si>
  <si>
    <t>Chevron Mining Inc. - Questa Mine Site - Reclamation Cost Estimate - NPV Calculation</t>
  </si>
  <si>
    <t>Mine Site Reclamation Cost Estimate (NPV)</t>
  </si>
  <si>
    <t>(Consumer Price Index - CPI-U, based on MMD Guidance to Mine Operators for Calculating Reclamation Costs in Net Present Value (December 29, 2004))</t>
  </si>
  <si>
    <t>(Lehman US Government Bond Index, based on MMD Guidance to Mine Operators for Calculating Reclamation Costs in Net Present Value (December 29, 2004))</t>
  </si>
  <si>
    <t>"Other"</t>
  </si>
  <si>
    <t>Total Reclamation Expenditure</t>
  </si>
  <si>
    <t>Seepage</t>
  </si>
  <si>
    <t>Erosion</t>
  </si>
  <si>
    <t>Mob</t>
  </si>
  <si>
    <t>Engineering</t>
  </si>
  <si>
    <t>Contractor</t>
  </si>
  <si>
    <t>Project</t>
  </si>
  <si>
    <t>State</t>
  </si>
  <si>
    <t>Current</t>
  </si>
  <si>
    <t>Future</t>
  </si>
  <si>
    <t>Net Present</t>
  </si>
  <si>
    <t>Facilities</t>
  </si>
  <si>
    <t>Capture</t>
  </si>
  <si>
    <t>Re-Design</t>
  </si>
  <si>
    <t>Profit</t>
  </si>
  <si>
    <t>Management</t>
  </si>
  <si>
    <t>Procurement</t>
  </si>
  <si>
    <t>Control</t>
  </si>
  <si>
    <t>Road</t>
  </si>
  <si>
    <t xml:space="preserve">Planned </t>
  </si>
  <si>
    <t>Amount</t>
  </si>
  <si>
    <t>Value (NPV)</t>
  </si>
  <si>
    <t>Shaping</t>
  </si>
  <si>
    <t>Demob</t>
  </si>
  <si>
    <t>Contingency</t>
  </si>
  <si>
    <t>Fee</t>
  </si>
  <si>
    <t>&amp; O'Head</t>
  </si>
  <si>
    <t>Costs</t>
  </si>
  <si>
    <t>Maintenance</t>
  </si>
  <si>
    <t>O&amp;M</t>
  </si>
  <si>
    <t>Year</t>
  </si>
  <si>
    <t>Shutdown - Design</t>
  </si>
  <si>
    <t>Design - Reclaim</t>
  </si>
  <si>
    <t>O&amp;M - Year 1</t>
  </si>
  <si>
    <t>O&amp;M - Year 2</t>
  </si>
  <si>
    <t>O&amp;M - Year 3</t>
  </si>
  <si>
    <t>O&amp;M - Year 4</t>
  </si>
  <si>
    <t>O&amp;M - Year 5</t>
  </si>
  <si>
    <t>O&amp;M - Year 6</t>
  </si>
  <si>
    <t>O&amp;M - Year 7</t>
  </si>
  <si>
    <t>O&amp;M - Year 8</t>
  </si>
  <si>
    <t>O&amp;M - Year 9</t>
  </si>
  <si>
    <t>O&amp;M - Year 10</t>
  </si>
  <si>
    <t>O&amp;M - Year 11</t>
  </si>
  <si>
    <t>O&amp;M - Year 12</t>
  </si>
  <si>
    <t>O&amp;M - Year 13</t>
  </si>
  <si>
    <t>O&amp;M - Year 14</t>
  </si>
  <si>
    <t>O&amp;M - Year 15</t>
  </si>
  <si>
    <t>O&amp;M - Year 16</t>
  </si>
  <si>
    <t>O&amp;M - Year 17</t>
  </si>
  <si>
    <t>O&amp;M - Year 18</t>
  </si>
  <si>
    <t>O&amp;M - Year 19</t>
  </si>
  <si>
    <t>O&amp;M - Year 20</t>
  </si>
  <si>
    <t>O&amp;M - Year 21</t>
  </si>
  <si>
    <t>O&amp;M - Year 22</t>
  </si>
  <si>
    <t>O&amp;M - Year 23</t>
  </si>
  <si>
    <t>O&amp;M - Year 24</t>
  </si>
  <si>
    <t>O&amp;M - Year 25</t>
  </si>
  <si>
    <t>Total Reclamation Estimate</t>
  </si>
  <si>
    <t>Values from Cost Summary - Sheet 19 - used to pro rate activity costs</t>
  </si>
  <si>
    <t>Worksheet #21</t>
  </si>
  <si>
    <t>Consumer</t>
  </si>
  <si>
    <t>Price</t>
  </si>
  <si>
    <t>Index</t>
  </si>
  <si>
    <t>FINANCIAL ASSURANCE  AMOUNT CALCULATION</t>
  </si>
  <si>
    <t>Index Rate</t>
  </si>
  <si>
    <t>Used for NPV calculation</t>
  </si>
  <si>
    <t>Per Wright Valley Oil - Alamosa, CO (quote from current facility supplier)</t>
  </si>
  <si>
    <t xml:space="preserve">The inflation rate is applied to activities comprised of civil engineering works such as earthwork, </t>
  </si>
  <si>
    <t>(875XX Zip Code - RSMeans 2011 Area Factor)</t>
  </si>
  <si>
    <t>Pump Size (hp)</t>
  </si>
  <si>
    <t>Power Cost ($/yr)</t>
  </si>
  <si>
    <t>Supplies</t>
  </si>
  <si>
    <t>Contingency @ 25%</t>
  </si>
  <si>
    <t>Worksheet #20</t>
  </si>
  <si>
    <t>Annual Operating Cost (2001)</t>
  </si>
  <si>
    <t>Reclamation Design Approach - Adjustments for 2011 Cost Estimate Semi-Update</t>
  </si>
  <si>
    <t>incorporated into the 2005 estimate detail and remain in this 2011 semi-update estimate, as inflated.</t>
  </si>
  <si>
    <t>Added from NMED 07/24/00, Revision 1, Cost Estimate Documents, and inflated</t>
  </si>
  <si>
    <t>Used costs from the USEPA 2010 Final Record of Decision, based on 2009 Feasibility</t>
  </si>
  <si>
    <t>Study, inflated to 2011</t>
  </si>
  <si>
    <t>Used quantities from USEPA 2010 Final Record of Decision, based on 2009 Feasibility Study</t>
  </si>
  <si>
    <t>- Alternative 3B (2H:1V)</t>
  </si>
  <si>
    <t>Ditches and</t>
  </si>
  <si>
    <t>Years 0 - 32</t>
  </si>
  <si>
    <t>Years 33 - 42</t>
  </si>
  <si>
    <t>Equipment rented and on-site for years 1 through 57</t>
  </si>
  <si>
    <t>Worksheet #1e</t>
  </si>
  <si>
    <t>Sludge Repository - Construction Cost Estimate</t>
  </si>
  <si>
    <t xml:space="preserve">12/31/01 estimate to the present, as well as for inflation of construction and O&amp;M costs during the </t>
  </si>
  <si>
    <t>Discount Rate - Construction and O&amp;M (years 1-128)</t>
  </si>
  <si>
    <t>Inflation Rate - Construction and O&amp;M(years 1-128)</t>
  </si>
  <si>
    <t>Construction costs include: clearing and grubbing, subgrade prep, material screening, hauling subgrade material, earthwork</t>
  </si>
  <si>
    <t>Sludge Repository</t>
  </si>
  <si>
    <t>Sludge Repository Construction</t>
  </si>
  <si>
    <t>27 year reclamation construction period.</t>
  </si>
  <si>
    <t xml:space="preserve">Chevron Mining Inc. has chosen to use a single inflation rate for escalating certain costs from the MMD </t>
  </si>
  <si>
    <t xml:space="preserve">drainage, revegetation and facility demoliton.  The inflation rate is also for the O&amp;M of the Water Treatment </t>
  </si>
  <si>
    <t>Reclaim/O&amp;M</t>
  </si>
  <si>
    <t>Completion/O&amp;M</t>
  </si>
  <si>
    <t>facility and other support activities over the 100 year post-reclamation treatment period.  This cost is</t>
  </si>
  <si>
    <t>comprised of one major component: general facility operating and maintenance costs.  Per the MMD</t>
  </si>
  <si>
    <t>Guidance to Mine Operators for Calculating Reclamation Costs in Net Present Value (December 29, 2004),</t>
  </si>
  <si>
    <t>Reclamation - Construction and O&amp;M Inflation Rate</t>
  </si>
  <si>
    <t>Activity Spending Breakdown</t>
  </si>
  <si>
    <t xml:space="preserve">Chevron Mining Inc. has chosen to use a single discount rate for the Net Present Value calculation </t>
  </si>
  <si>
    <t>Reclamation - Construction and O&amp;M Discount Rate</t>
  </si>
  <si>
    <t>of the Mine Site reclamation cost estimate.</t>
  </si>
  <si>
    <r>
      <t xml:space="preserve">An appropriate discount rate is </t>
    </r>
    <r>
      <rPr>
        <b/>
        <sz val="12"/>
        <color theme="1"/>
        <rFont val="Arial"/>
        <family val="2"/>
      </rPr>
      <t>The Lehman Brothers - US Government Aggregate Bond</t>
    </r>
  </si>
  <si>
    <r>
      <rPr>
        <b/>
        <sz val="12"/>
        <color theme="1"/>
        <rFont val="Arial"/>
        <family val="2"/>
      </rPr>
      <t>Index</t>
    </r>
    <r>
      <rPr>
        <sz val="12"/>
        <color theme="1"/>
        <rFont val="Arial"/>
        <family val="2"/>
      </rPr>
      <t>, as recommended in the MMD Guidance to Mine Operators for Calculating Reclamation</t>
    </r>
  </si>
  <si>
    <t>Costs in Net Present Value (December 29, 2004).  This aggregate index covers the period from</t>
  </si>
  <si>
    <t>1991 to 2007.  In 2008, The Lehman Brothers declared bankruptcy and subsequently were</t>
  </si>
  <si>
    <t>Sludge</t>
  </si>
  <si>
    <t>Repository</t>
  </si>
  <si>
    <t>(Primedia) Equipment Watch - Rental Rate Blue Book - March 2011</t>
  </si>
  <si>
    <t>These are inflated from 2001 cost estimate basis to a 2011 cost basis using a compounded inflation</t>
  </si>
  <si>
    <r>
      <t>Adjusted to $3.62</t>
    </r>
    <r>
      <rPr>
        <vertAlign val="superscript"/>
        <sz val="12"/>
        <rFont val="Arial"/>
        <family val="2"/>
      </rPr>
      <t>9</t>
    </r>
    <r>
      <rPr>
        <sz val="12"/>
        <rFont val="Arial"/>
        <family val="2"/>
      </rPr>
      <t>/gallon for a 2011 cost basis</t>
    </r>
  </si>
  <si>
    <t>For detail see worksheet tab #21</t>
  </si>
  <si>
    <t>Updated seepage capture system rates with anticipated collection rates at closure</t>
  </si>
  <si>
    <t>Chevron Mining Inc. - Questa Mine Site Reclamation - Construction and O&amp;M Discount Rate</t>
  </si>
  <si>
    <t>Chevron Mining Inc. - Questa Mine Site Reclamation - Construction and O&amp;M Inflation Rate</t>
  </si>
  <si>
    <t>Worksheet #22</t>
  </si>
  <si>
    <t>See "1e...Approach 2011 Semi-Update" - Worksheet 1e for revised assumptions</t>
  </si>
  <si>
    <t>For detail see previous worksheet tabs #21 and #22</t>
  </si>
  <si>
    <t>For detail see previous worksheet tab #22</t>
  </si>
  <si>
    <t>rate based on the Consumer Price Index (see previous worksheet tab #21 for details)</t>
  </si>
  <si>
    <t>These are inflated from 2001 cost estimate basis to a 2005 cost basis using a compounded inflation rate based</t>
  </si>
  <si>
    <t>on the Construction Inflation Factor (see previous worksheet tab #22 in the 2005 Cost Estimate for details)</t>
  </si>
  <si>
    <t>that reflect the type of work/costs involved in these activities.  For detail</t>
  </si>
  <si>
    <t>see previous worksheet tabs #21 and #22 in the 2005 Cost Estimate</t>
  </si>
  <si>
    <t>investment purposes by other NM State entities.  For detail</t>
  </si>
  <si>
    <t>see previous worksheet tabs #23 and #24 in the 2005 Cost Estimate</t>
  </si>
  <si>
    <t>These are inflated from 2001 cost estimate basis to a 2007 cost basis using a compounded inflation rate based</t>
  </si>
  <si>
    <t>on the Construction Inflation Factor (see previous worksheet tab #21 in the 2007 Cost Estimate for details)</t>
  </si>
  <si>
    <t>see previous worksheet tabs #21 and #22 in the 2007 Cost Estimate</t>
  </si>
  <si>
    <t>previous worksheet tabs #23 and #24 in the 2007 Cost Estimate</t>
  </si>
  <si>
    <t>investment purposes by other NM State entities.  For detail see</t>
  </si>
  <si>
    <t>Pit Rep - Landbridge</t>
  </si>
  <si>
    <t>Blind Gulch RP</t>
  </si>
  <si>
    <t>Front RP</t>
  </si>
  <si>
    <t>Rehandle landbridge</t>
  </si>
  <si>
    <t>Pit Repository</t>
  </si>
  <si>
    <t>Front RP Scars</t>
  </si>
  <si>
    <t>Goathill South RP</t>
  </si>
  <si>
    <t>PC1250</t>
  </si>
  <si>
    <t>Build Access Haul Road</t>
  </si>
  <si>
    <t>Access Ramp Rehandle</t>
  </si>
  <si>
    <t>Blind Gulch/Sulphur RP</t>
  </si>
  <si>
    <t>Pushdown screening material</t>
  </si>
  <si>
    <t>Rehandle reject material</t>
  </si>
  <si>
    <t>Remove 793 Access Ramp</t>
  </si>
  <si>
    <t>Build 793 Access Road</t>
  </si>
  <si>
    <t>Access Ramp Waste</t>
  </si>
  <si>
    <t>CAT 345</t>
  </si>
  <si>
    <t>Total Haul</t>
  </si>
  <si>
    <t>Spring Gulch - GHN HR</t>
  </si>
  <si>
    <t>Load Cut Haul Road Construction</t>
  </si>
  <si>
    <t>Haul Road Cut</t>
  </si>
  <si>
    <t>CAT 980</t>
  </si>
  <si>
    <t>2 D8 / 1 D10</t>
  </si>
  <si>
    <t>2 D10</t>
  </si>
  <si>
    <t>1 D9</t>
  </si>
  <si>
    <t>1 D10 / 1 D6</t>
  </si>
  <si>
    <t>Blind Gulch/Spring Gulch</t>
  </si>
  <si>
    <t>1 D8 / 1 D6</t>
  </si>
  <si>
    <t>Non Goat Hill South</t>
  </si>
  <si>
    <t>PC1250/740</t>
  </si>
  <si>
    <t>1.5 D6 / .5 834</t>
  </si>
  <si>
    <t>Remove Access Ramp</t>
  </si>
  <si>
    <t>PC2000/777</t>
  </si>
  <si>
    <t>PC5500/793</t>
  </si>
  <si>
    <t>.5 D6 / .5 834</t>
  </si>
  <si>
    <t>Build Haul Road</t>
  </si>
  <si>
    <t>1 D8</t>
  </si>
  <si>
    <t>Goat Hill South Access</t>
  </si>
  <si>
    <t>1 D6</t>
  </si>
  <si>
    <t>Cover Reject Handling</t>
  </si>
  <si>
    <t>1 834</t>
  </si>
  <si>
    <t>2 D8 / 1 CAT 385</t>
  </si>
  <si>
    <t>.5 D9 / .5 CAT 854</t>
  </si>
  <si>
    <t>Hide</t>
  </si>
  <si>
    <t>Front RP 9350'</t>
  </si>
  <si>
    <t>Pit Repository Ramp 8770' to 8520'</t>
  </si>
  <si>
    <t>Front RP 8850' to 8950'</t>
  </si>
  <si>
    <t>Front RP 8950' to 9050'</t>
  </si>
  <si>
    <t>Front RP 8750 to 8850</t>
  </si>
  <si>
    <t>Pit Repository 8870 to 8900</t>
  </si>
  <si>
    <t>Pit Repository 8770 to 8900</t>
  </si>
  <si>
    <t>Front RP 8550 to 8650</t>
  </si>
  <si>
    <t>Pit Repository 8900 to 9130</t>
  </si>
  <si>
    <t>Front RP 8450 to 8550</t>
  </si>
  <si>
    <t>Pit Repository Ramp 8770 to 8520</t>
  </si>
  <si>
    <t>Front RP 9250 to 9350</t>
  </si>
  <si>
    <t>Pit Repository 8520 to 8650</t>
  </si>
  <si>
    <t>Front RP 9050 to 9150</t>
  </si>
  <si>
    <t>Pit Repository 8650 to 8770</t>
  </si>
  <si>
    <t>Front RP 8950 to 9050</t>
  </si>
  <si>
    <t>Front RP 8650 to 8750</t>
  </si>
  <si>
    <t>Blind Gulch Bottom</t>
  </si>
  <si>
    <t>Front RP 9150 to 9250</t>
  </si>
  <si>
    <t>Front RP 9350 and above</t>
  </si>
  <si>
    <t>Pit Repository Top</t>
  </si>
  <si>
    <t>Blind Gulch/Sulphur RP Middle</t>
  </si>
  <si>
    <t>Blind Gulch/Sulphur RP Bottom</t>
  </si>
  <si>
    <t>Front RP Long</t>
  </si>
  <si>
    <t>Front RP Middle</t>
  </si>
  <si>
    <t>Front RP Short</t>
  </si>
  <si>
    <t>Segment 3</t>
  </si>
  <si>
    <t>Segment 4</t>
  </si>
  <si>
    <t>(min/1000ft)</t>
  </si>
  <si>
    <t>(min/1000ft</t>
  </si>
  <si>
    <t>Build Access HR</t>
  </si>
  <si>
    <t>Haul Reject Material</t>
  </si>
  <si>
    <t>CAT 385</t>
  </si>
  <si>
    <t>PC5500 + .5 D10 + .5 854</t>
  </si>
  <si>
    <t>Total Cost (2017)</t>
  </si>
  <si>
    <t>PC2000 + .5 D8 + .5 854</t>
  </si>
  <si>
    <t>PC1250 + .5 D6 + .5 834</t>
  </si>
  <si>
    <t>PC1250 + D8</t>
  </si>
  <si>
    <t>CAT 345 + D8</t>
  </si>
  <si>
    <t>PC2000 + .5 854</t>
  </si>
  <si>
    <t>PC1250 + .5 834</t>
  </si>
  <si>
    <t>Drill and Blast FRP</t>
  </si>
  <si>
    <t>Drill and Blast</t>
  </si>
  <si>
    <t>Drill and Blast GHS</t>
  </si>
  <si>
    <t>Presplit Haul Road</t>
  </si>
  <si>
    <t>LF</t>
  </si>
  <si>
    <t>Drill and Blast Haul Road</t>
  </si>
  <si>
    <t>Haul Road Maintenance/Dust Control</t>
  </si>
  <si>
    <t>Roadside Waste Rock Piles Road Maintenance</t>
  </si>
  <si>
    <t>Roadside Waste Rock Piles Dust Control</t>
  </si>
  <si>
    <t>Wk</t>
  </si>
  <si>
    <t>Blind Gulch/Spring Gulch Road Maintenance</t>
  </si>
  <si>
    <t>Blind Gulch/Spring Gulch Dust Control</t>
  </si>
  <si>
    <t>Non-GHS Road Maintenance</t>
  </si>
  <si>
    <t>Non-GHS Dust Control</t>
  </si>
  <si>
    <t>GHS Road Maintenance</t>
  </si>
  <si>
    <t>GHS Dust Control</t>
  </si>
  <si>
    <t>Remove 793 Access Ramp Road Maintenance</t>
  </si>
  <si>
    <t>Remove 793 Access Ramp Dust Control</t>
  </si>
  <si>
    <t>Build 793 Haul Rd Road Maintenance</t>
  </si>
  <si>
    <t>Build 793 Haul Rd Dust Control</t>
  </si>
  <si>
    <t>Goat Hill South Access Road Maintenance</t>
  </si>
  <si>
    <t>Goat Hill South Access Dust Control</t>
  </si>
  <si>
    <t>Reject Handling Road Maintenance</t>
  </si>
  <si>
    <t>Reject Handling Dust Control</t>
  </si>
  <si>
    <t>Pit Repository Cover Road Maintenance</t>
  </si>
  <si>
    <t>Pit Repository Cover Dust Control</t>
  </si>
  <si>
    <t>Blind and Sulphur Gulch Cover Road Maintenance</t>
  </si>
  <si>
    <t>Blind and Sulphur Gulch Cover Dust Control</t>
  </si>
  <si>
    <t>Sugar Shack West Cover Road Maintenance</t>
  </si>
  <si>
    <t>Sugar Shack West Cover Dust Control</t>
  </si>
  <si>
    <t>Goat Hill South Cover Dust Control</t>
  </si>
  <si>
    <t>Goat Hill South Cover Road Maintenance</t>
  </si>
  <si>
    <t>Roadside Waste Rock Pile Cover Road Maintenance</t>
  </si>
  <si>
    <t>Roadside Waste Rock Pile Cover Dust Control</t>
  </si>
  <si>
    <t>Spring Gulch Cover Road Maintenance</t>
  </si>
  <si>
    <t>Spring Gulch Cover Dust Control</t>
  </si>
  <si>
    <t>MSE Wall</t>
  </si>
  <si>
    <t>MSE Wall Construction</t>
  </si>
  <si>
    <t>MSE Wall Demolition</t>
  </si>
  <si>
    <t>SF</t>
  </si>
  <si>
    <t>GHS Access Rehandle to Place</t>
  </si>
  <si>
    <t>GHS</t>
  </si>
  <si>
    <t>GHS Access Rehandle Prime</t>
  </si>
  <si>
    <t>1 D6 / 1 CAT 345</t>
  </si>
  <si>
    <t>Regrade/Reshape Cover</t>
  </si>
  <si>
    <t>FRP</t>
  </si>
  <si>
    <t>2 D6</t>
  </si>
  <si>
    <t>per gallon (August 2017)</t>
  </si>
  <si>
    <t>Total Cost (2018)</t>
  </si>
  <si>
    <t>Screening Sub</t>
  </si>
  <si>
    <t>FRP Cover Admendment</t>
  </si>
  <si>
    <t>tn</t>
  </si>
  <si>
    <t>Water Management</t>
  </si>
  <si>
    <t>FRP Finegrade (All Channels</t>
  </si>
  <si>
    <t>FRP Install Articulated Channels</t>
  </si>
  <si>
    <t>FRP Bedrock Channel</t>
  </si>
  <si>
    <t>FRP Riprap Channel</t>
  </si>
  <si>
    <t>FRP Install Clean Water Pipe</t>
  </si>
  <si>
    <t>FRP Toe Drain Work</t>
  </si>
  <si>
    <t>FRP Instrumentation</t>
  </si>
  <si>
    <t>SY</t>
  </si>
  <si>
    <t>Lump Sum</t>
  </si>
  <si>
    <t>Eben Nordahl / Jake Jeffryes</t>
  </si>
  <si>
    <t>Worksheet #1f</t>
  </si>
  <si>
    <t>Norwest titled "Questa - Draft Integrated WRP Conceptual Design options Report 05-31-16 rev 1" for</t>
  </si>
  <si>
    <t>Direct Cost:</t>
  </si>
  <si>
    <t>Material &amp; Earthwork</t>
  </si>
  <si>
    <t>achieve the lowest unit cost. Haul distances and quantities were determined using Carlson</t>
  </si>
  <si>
    <t>Dozer</t>
  </si>
  <si>
    <t>Grading</t>
  </si>
  <si>
    <t>No dozer ripping was specifically identified. All dozer ripping is built into our loader support</t>
  </si>
  <si>
    <t>split into logical operations. Different equipment fleets were optimized to each operation</t>
  </si>
  <si>
    <t>The loading equipment performance factors were estimated via historical results. These</t>
  </si>
  <si>
    <t>specifications are based on OEM configurations</t>
  </si>
  <si>
    <t>Truck productivity was determined with haul cycle analysis. Using both the length and grade</t>
  </si>
  <si>
    <t xml:space="preserve">determined for each operation. Haul cycle distance and grade analysis was done in </t>
  </si>
  <si>
    <t>Backhoe</t>
  </si>
  <si>
    <t>No work was identified for scrapers at this time</t>
  </si>
  <si>
    <t>in the "Other" tab</t>
  </si>
  <si>
    <t>Earthmoving Cost Sum</t>
  </si>
  <si>
    <t>Seepage Capture</t>
  </si>
  <si>
    <t>Water Treatment</t>
  </si>
  <si>
    <t>Road maintenance and dust control costs were estimated based on the assumed schedule</t>
  </si>
  <si>
    <t>and historical costs</t>
  </si>
  <si>
    <t>toe drain work, and instrumentation.</t>
  </si>
  <si>
    <t>articulated channels, bedrock channels, riprap channels, installation of clean water pipe,</t>
  </si>
  <si>
    <t>Drill and blast costs were added and estimated using historical costs</t>
  </si>
  <si>
    <t>A MSE wall was added and estimated for access to Goat Hill South</t>
  </si>
  <si>
    <t>Amendment and Screening</t>
  </si>
  <si>
    <t>Amendment and screening costs were estimated</t>
  </si>
  <si>
    <t>All indirect costs percentages were kept the same as the previous estimate</t>
  </si>
  <si>
    <t>Based on the reports listed in the assumptions new quantity takeoffs were performed and</t>
  </si>
  <si>
    <t>depending on the access requirements and schedule needs. The fleets were selected to</t>
  </si>
  <si>
    <t>hour to hour factors based on historical productivities</t>
  </si>
  <si>
    <t xml:space="preserve"> were adjusted based on the individual requirements of each individual operation. Loader </t>
  </si>
  <si>
    <t xml:space="preserve">of the individual haul segments the number of trucks and associated production rate was </t>
  </si>
  <si>
    <t>No hydraulic excavator work was identified that was not auxiliary work and therefore was</t>
  </si>
  <si>
    <t>Scrapers</t>
  </si>
  <si>
    <t>Water management costs were added and estimated including fine grading, installation of</t>
  </si>
  <si>
    <t>number passes</t>
  </si>
  <si>
    <t>CAT 740</t>
  </si>
  <si>
    <t>CAT 834 Wheel Dozer</t>
  </si>
  <si>
    <t>CAT 854 Wheel Dozer</t>
  </si>
  <si>
    <t>CAT D10</t>
  </si>
  <si>
    <t>CAT D6R LGP</t>
  </si>
  <si>
    <t>CAT D8</t>
  </si>
  <si>
    <t>CAT D9</t>
  </si>
  <si>
    <t>CAT 777</t>
  </si>
  <si>
    <t>Mobilization and Demobilization</t>
  </si>
  <si>
    <t>Motorgraders</t>
  </si>
  <si>
    <t>No work was identified for motorgraders other than road maintenance which was estimated</t>
  </si>
  <si>
    <t>NPV methodology did not change. Construction Schedule was accelerated to finish in 2040</t>
  </si>
  <si>
    <t>Dozer productivity estimates are from historical productivities</t>
  </si>
  <si>
    <t xml:space="preserve"> via Kiewit's historical production rates. The unit of measure was changed for the grading</t>
  </si>
  <si>
    <t>of rock pile surfaces to better match Kiewit's historical rates.</t>
  </si>
  <si>
    <t>Based on research using public available indices</t>
  </si>
  <si>
    <t>that reflect the type of work/costs involved in these activities.</t>
  </si>
  <si>
    <t>Discount Rate</t>
  </si>
  <si>
    <t>investment purposes by other NM State entities.</t>
  </si>
  <si>
    <t>Reclamation Design Approach - Adjustments for 2018 Cost Estimate</t>
  </si>
  <si>
    <t>The 2018 cost estimate update uses a new design approach. It has been updated using the report from</t>
  </si>
  <si>
    <t>Erosion control ditches costs were escalated to 2018 dollars</t>
  </si>
  <si>
    <t>All O&amp;M costs were escalated to 2018 dollars. Indirect costs were added to all O&amp;M activities</t>
  </si>
  <si>
    <t>Operating and Maintenance Costs</t>
  </si>
  <si>
    <t>Indirect Costs</t>
  </si>
  <si>
    <t>Net Present Value</t>
  </si>
  <si>
    <t>17 Year Compounded Inflation</t>
  </si>
  <si>
    <t>Annual Operating Cost (2018)</t>
  </si>
  <si>
    <t>1. To update geomean function place cursor at end of equation and press Ctrl-Shift-Enter.</t>
  </si>
  <si>
    <t>2. It is impossible to calculate Geometric Mean with negative numbers. However, there are several work-arounds for this problem, all of which require that the negative values be converted or transformed to a meaningful positive equivalent value. Most often this problem arises when it is desired to calculate the geometric mean of a percent change in a population or a financial return, which includes negative numbers. 
 For example, to calculate the geometric mean of the values +12%, -8%, and +2%, instead calculate the geometric mean of their decimal multiplier equivalents of 1.12, 0.92, and 1.02, to compute a geometric mean of 1.0167. Subtracting 1 from this value gives the geometric mean of +1.67% as a net rate of population growth (or in financial circles is called the Compound Annual Growth Rate-CAGR).
 Incidentally, if you do not have a negative percent value in a data set, you should still convert the percent values to the decimal equivalent multiplier. It is important to recognize that when dealing with percents, the geometric mean of percent values does not equal the geometric mean of the decimal multiplier equivalents. 
 For example:
Geometric mean of [12%, 4%, 2%] does not equal the Geometric mean of [1.12,1.04,1.02].
 4.6% does not equal 5.9%
(http://buzzardsbay.org/geomean.htm) - Dr. Joe Costa</t>
  </si>
  <si>
    <t>27 Year Average Inflation Rate</t>
  </si>
  <si>
    <t>bought by Barclays.  The period from 2008 to 2017 uses the aggregate index from Barclays.</t>
  </si>
  <si>
    <t>27 Year Average - Composite Index</t>
  </si>
  <si>
    <t>Water Treatment is covered under the Partial Consent Decree</t>
  </si>
  <si>
    <t>excluded from this spreadsheet</t>
  </si>
  <si>
    <t>Goat Hill North is covered under the early design action FA and is</t>
  </si>
  <si>
    <t>Total Cost (2014)</t>
  </si>
  <si>
    <t>4 Year Compounded Inflation</t>
  </si>
  <si>
    <t>Based on 2014 Chevron Decision Support Package.</t>
  </si>
  <si>
    <t>Water treatment costs removed because they are covered under the Partial Consent Decree</t>
  </si>
  <si>
    <t>Sludge Repository costs updated per 2014 Chevron Decision Support Package</t>
  </si>
  <si>
    <t>EquipmentWatch - February 2018</t>
  </si>
  <si>
    <t>Adjusted to $2.57/gallon for a 2018 cost basis</t>
  </si>
  <si>
    <t xml:space="preserve">Earthwork Equipment Costs have been updated - Per owning and operating costs from </t>
  </si>
  <si>
    <t>Equipment Costs</t>
  </si>
  <si>
    <t>Labor Rates</t>
  </si>
  <si>
    <t>- January 2018</t>
  </si>
  <si>
    <t>Labor Costs updated per NM Public Works - Type H Heavy Engineering Wage Rates</t>
  </si>
  <si>
    <t>All estimated productivities are Kiewit fleet productivities.</t>
  </si>
  <si>
    <t>Cynthia Gulde</t>
  </si>
  <si>
    <t>575/586-7606</t>
  </si>
  <si>
    <t>and March 2016, the items on this page have been removed</t>
  </si>
  <si>
    <t>Per discussion with the agencies on removal of overlap items between the Partial Consent Decree and State FA in February</t>
  </si>
  <si>
    <t>Per discussion with the agencies on removal of overlap items between the Partial Consent</t>
  </si>
  <si>
    <t>Decree and State FA in February and March 2016, Seepage Capture has been removed</t>
  </si>
  <si>
    <t>Revegetation costs were based on previous estimates.</t>
  </si>
  <si>
    <t>All but Goat Hill North and Capulin seepage capture systems have been deleted.</t>
  </si>
  <si>
    <t>Nominal</t>
  </si>
  <si>
    <t>Base</t>
  </si>
  <si>
    <t>Fringe</t>
  </si>
  <si>
    <t>Apprentice</t>
  </si>
  <si>
    <t>Group</t>
  </si>
  <si>
    <t>Classification</t>
  </si>
  <si>
    <t>Group VI</t>
  </si>
  <si>
    <t>Group IV</t>
  </si>
  <si>
    <t>Truck Driver</t>
  </si>
  <si>
    <t>Group VIII</t>
  </si>
  <si>
    <t>EquipmentWatch for Construction Equipment Owning and Operating Cost - February 2018</t>
  </si>
  <si>
    <t>Fuel Cost Source - Alta Fuels - Alamosa, CO (February 2018)</t>
  </si>
  <si>
    <t>NM Public Works - Wage Rates - January 1, 2018</t>
  </si>
  <si>
    <t>Operator, Excavator (&gt; 3/4 cy Type H)</t>
  </si>
  <si>
    <t>Group VII</t>
  </si>
  <si>
    <t>Mechanic, Hvy Equip. Service Truck Operator</t>
  </si>
  <si>
    <t>NMDOL</t>
  </si>
  <si>
    <t>Type H</t>
  </si>
  <si>
    <t>PC2000*</t>
  </si>
  <si>
    <t>PC5500*</t>
  </si>
  <si>
    <t>CAT 793*</t>
  </si>
  <si>
    <t>*EquipmentWatch does not provide rates for heavy mining equipment.  Used Kiewit fleet rate.</t>
  </si>
  <si>
    <t>`</t>
  </si>
  <si>
    <t>Operator, Truck Driver (&gt;36 cy)</t>
  </si>
  <si>
    <t>Operator, Truck Driver (22-36 cy)</t>
  </si>
  <si>
    <t>Operator, Dozer</t>
  </si>
  <si>
    <t>Operator, Loader (2-10 cy)</t>
  </si>
  <si>
    <t>of June 1, 2016</t>
  </si>
  <si>
    <t xml:space="preserve"> Conceptual Design Report</t>
  </si>
  <si>
    <t>Based on Integrated Waste Rock Pile</t>
  </si>
  <si>
    <t>Integrate amendment with cover material</t>
  </si>
  <si>
    <t>Goat Hill South Rock Pile</t>
  </si>
  <si>
    <t>Sugar Shack West Rock Pile</t>
  </si>
  <si>
    <t>Sugar Shack South Rock Pile</t>
  </si>
  <si>
    <t>Middle Rock Pile</t>
  </si>
  <si>
    <t>Sulphur Gulch South Rock Pile</t>
  </si>
  <si>
    <t>SGN/Blind Gulch Rock Pile</t>
  </si>
  <si>
    <t>Spring Gulch Rock Pile</t>
  </si>
  <si>
    <t>Mine, Mill, and Service Areas</t>
  </si>
  <si>
    <t>Total Cost (2016)</t>
  </si>
  <si>
    <t>Two Year Compounded Inflation</t>
  </si>
  <si>
    <t>Years 6-10</t>
  </si>
  <si>
    <t>5-yr period</t>
  </si>
  <si>
    <t>Screening Sub (other piles)</t>
  </si>
  <si>
    <t>Haul cover material to Pit, Capulin, Goat Hill South,</t>
  </si>
  <si>
    <t>hydroseed methods</t>
  </si>
  <si>
    <t>Unit cost based on 2016 Spring Gulch cover trial project ($15,300 for 47 acres)</t>
  </si>
  <si>
    <t xml:space="preserve">The dozer productivity for grading rock pile surfaces and cover material was estimated </t>
  </si>
  <si>
    <t>Carlson and the Cat handbooks were used for cycle times</t>
  </si>
  <si>
    <t>estimated with the operations via historical hour to hour factors</t>
  </si>
  <si>
    <t>DEMOLITION ACTIVITES OCCURRED PER THE CLOSURE PLAN. BUILDINGS REMAINING ON SITE WILL REMAIN IN PLACE TO SUPPORT CERCLA ACTIVITIES.</t>
  </si>
  <si>
    <t xml:space="preserve">No demolition activities associated with the 2018 estimate.  Demolition activities occurred per the </t>
  </si>
  <si>
    <t>closure plan.  Buildings remaining on site will remain in place to support CERCLA activities.</t>
  </si>
  <si>
    <t>No demolition activities associated with the 2018 estimate.</t>
  </si>
  <si>
    <t>Other O&amp;M Items</t>
  </si>
  <si>
    <t>Based on Chevron cost estimate March 2018</t>
  </si>
  <si>
    <t>Spring 13</t>
  </si>
  <si>
    <t>annual clean out, regular inspection, near annual pump replacement, frequent control communications issues</t>
  </si>
  <si>
    <t>Spring 39</t>
  </si>
  <si>
    <t>regular inspections</t>
  </si>
  <si>
    <t>Capulin Finger Drains</t>
  </si>
  <si>
    <t>Goathill North Drains</t>
  </si>
  <si>
    <t>Capulin Upper Catchments</t>
  </si>
  <si>
    <t>Capulin Lower Catchments</t>
  </si>
  <si>
    <t>Goathill Lower Catchments</t>
  </si>
  <si>
    <t>North Detention</t>
  </si>
  <si>
    <t>Enhanced 005</t>
  </si>
  <si>
    <t>Mill Yard Catchment</t>
  </si>
  <si>
    <t>Upper Dump Sump</t>
  </si>
  <si>
    <t>2 times a year clean out</t>
  </si>
  <si>
    <t>regular inspections, infrequent cleanout</t>
  </si>
  <si>
    <t>annual cleanout</t>
  </si>
  <si>
    <t>regular inspection</t>
  </si>
  <si>
    <t>Inspection and cleanout costs for springs, drains, and catchments are included.</t>
  </si>
  <si>
    <t>Updated by Kiewit/AECOM</t>
  </si>
  <si>
    <t>Kiewit Mining Group/AECOM</t>
  </si>
  <si>
    <t>Years 11-48</t>
  </si>
  <si>
    <t>38-yr period</t>
  </si>
  <si>
    <t>10% per year over 5 years, 5% per year over 38 years</t>
  </si>
  <si>
    <t>Years 43 - 48</t>
  </si>
  <si>
    <t>Per Schedule over 48 years</t>
  </si>
  <si>
    <t>Over 47 years</t>
  </si>
  <si>
    <t>Capulin is covered under the early design action FA and is</t>
  </si>
  <si>
    <t>the front pile and the presentation for the April 11, 2017 workshop over Capulin and Goathill North.</t>
  </si>
  <si>
    <t>The approach is conservative and is only an estimate until a more detailed design is approved.</t>
  </si>
  <si>
    <t>Biosolid Amendment Addition to Rock Pile Cover</t>
  </si>
  <si>
    <t>Part of the Capulin Water Management System in operation year round.  Water collected in the finger drains is pumped to the Capulin Pump Back Pond and is then pumped to the Goat Hill subsidence area.  Clean out pipes 3 times a year.</t>
  </si>
  <si>
    <t>Part of the Capulin Water Management Sytem in operation during the summer.  Water collected in catchments is pumped to the Goat Hill subsidence area. Regular inspections and repairs including access road clearing in winter.  Sediment is removed from the Pump Back Pond when the pond is 1/3 full of sediment.</t>
  </si>
  <si>
    <t>Seed and mulch (biosolid amendment applied in screening plant under "Other" tab)</t>
  </si>
  <si>
    <t>Enhanced 005 Pumps</t>
  </si>
  <si>
    <t>Total Cost (2015)</t>
  </si>
  <si>
    <t>3 Year Compounded Inflation</t>
  </si>
  <si>
    <t>Initial installation cost of two 800 gpm and two 400 gpm pumps (4 total) including materials and labor.</t>
  </si>
  <si>
    <t>Pumps replacement cost every 20 years (year 2035 and year 2055).</t>
  </si>
  <si>
    <t>Updated includes comments from MMD/NMED April 2018</t>
  </si>
  <si>
    <t>was used, averaging the past 27 years.</t>
  </si>
  <si>
    <r>
      <t xml:space="preserve">the </t>
    </r>
    <r>
      <rPr>
        <b/>
        <sz val="12"/>
        <color theme="1"/>
        <rFont val="Arial"/>
        <family val="2"/>
      </rPr>
      <t>US Department of Labor - Consumer Price Index - All Urban - All U.S. City Average Consumers</t>
    </r>
  </si>
  <si>
    <t>cut, earthwork fill berm, 16-oz geotextile, 40 mil LLDPE, and grading perimeter ditches.</t>
  </si>
  <si>
    <t>Pit Repository Pond (liner only, see rockpile regrade for earthwork)</t>
  </si>
  <si>
    <t>Other (Erosion Ditches, D&amp;B, Haul Road Maintenance, Pit Liner, etc)</t>
  </si>
  <si>
    <t>Geomembrane (60-mil HDPE)</t>
  </si>
  <si>
    <t>Geotextile (12-ounce non-woven)</t>
  </si>
  <si>
    <t>Capulin Borehole Re-Drill</t>
  </si>
  <si>
    <t>Re-drill hole in year 15 (2033)</t>
  </si>
  <si>
    <t>Pit Repository Pond</t>
  </si>
  <si>
    <t>Capulin borehole re-drill cost included</t>
  </si>
  <si>
    <t>Pit repository pond cost was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</si>
</sst>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8" formatCode="&quot;$&quot;#,##0.00_);[Red]\(&quot;$&quot;#,##0.00\)"/>
    <numFmt numFmtId="44" formatCode="_(&quot;$&quot;* #,##0.00_);_(&quot;$&quot;* \(#,##0.00\);_(&quot;$&quot;* &quot;-&quot;??_);_(@_)"/>
    <numFmt numFmtId="43" formatCode="_(* #,##0.00_);_(* \(#,##0.00\);_(* &quot;-&quot;??_);_(@_)"/>
    <numFmt numFmtId="164" formatCode="mm/dd/yy_)"/>
    <numFmt numFmtId="165" formatCode="mm/dd/yy;@"/>
    <numFmt numFmtId="166" formatCode="&quot;$&quot;#,##0"/>
    <numFmt numFmtId="167" formatCode="&quot;$&quot;#,##0.00"/>
    <numFmt numFmtId="168" formatCode="0.0%"/>
    <numFmt numFmtId="169" formatCode="#,##0.0"/>
    <numFmt numFmtId="170" formatCode="0.0"/>
    <numFmt numFmtId="171" formatCode="#,##0.0_);\(#,##0.0\)"/>
    <numFmt numFmtId="172" formatCode="0.00_)"/>
    <numFmt numFmtId="173" formatCode="0.000"/>
    <numFmt numFmtId="174" formatCode="0.0_);\(0.0\)"/>
    <numFmt numFmtId="175" formatCode="_(* #,##0_);_(* \(#,##0\);_(* &quot;-&quot;??_);_(@_)"/>
    <numFmt numFmtId="176" formatCode="#,##0.0000"/>
    <numFmt numFmtId="177" formatCode="[$-409]dd\-mmm\-yy;@"/>
    <numFmt numFmtId="178" formatCode="0.0000%"/>
    <numFmt numFmtId="179" formatCode="#,##0.0000000_);\(#,##0.0000000\)"/>
    <numFmt numFmtId="180" formatCode="0.000%"/>
    <numFmt numFmtId="181" formatCode="_(&quot;$&quot;* #,##0_);_(&quot;$&quot;* \(#,##0\);_(&quot;$&quot;* &quot;-&quot;??_);_(@_)"/>
    <numFmt numFmtId="182" formatCode="#0.000"/>
    <numFmt numFmtId="183" formatCode="#0.0"/>
  </numFmts>
  <fonts count="28" x14ac:knownFonts="1">
    <font>
      <sz val="11"/>
      <color theme="1"/>
      <name val="Calibri"/>
      <family val="2"/>
      <scheme val="minor"/>
    </font>
    <font>
      <b/>
      <i/>
      <sz val="12"/>
      <name val="Arial"/>
      <family val="2"/>
    </font>
    <font>
      <b/>
      <sz val="12"/>
      <name val="Arial"/>
      <family val="2"/>
    </font>
    <font>
      <b/>
      <sz val="10"/>
      <color indexed="12"/>
      <name val="Arial"/>
      <family val="2"/>
    </font>
    <font>
      <b/>
      <sz val="11"/>
      <name val="Arial"/>
      <family val="2"/>
    </font>
    <font>
      <sz val="11"/>
      <name val="Arial"/>
      <family val="2"/>
    </font>
    <font>
      <i/>
      <sz val="12"/>
      <name val="Arial"/>
      <family val="2"/>
    </font>
    <font>
      <sz val="12"/>
      <name val="Arial"/>
      <family val="2"/>
    </font>
    <font>
      <sz val="10"/>
      <name val="Arial"/>
      <family val="2"/>
    </font>
    <font>
      <b/>
      <sz val="8"/>
      <color indexed="81"/>
      <name val="Tahoma"/>
      <family val="2"/>
    </font>
    <font>
      <u/>
      <sz val="12"/>
      <name val="Arial"/>
      <family val="2"/>
    </font>
    <font>
      <b/>
      <sz val="10"/>
      <name val="Arial"/>
      <family val="2"/>
    </font>
    <font>
      <sz val="11"/>
      <color theme="1"/>
      <name val="Calibri"/>
      <family val="2"/>
      <scheme val="minor"/>
    </font>
    <font>
      <b/>
      <sz val="14"/>
      <name val="Arial"/>
      <family val="2"/>
    </font>
    <font>
      <b/>
      <sz val="12"/>
      <color rgb="FFFFFF00"/>
      <name val="Arial"/>
      <family val="2"/>
    </font>
    <font>
      <sz val="28"/>
      <name val="Arial"/>
      <family val="2"/>
    </font>
    <font>
      <sz val="8"/>
      <color indexed="81"/>
      <name val="Tahoma"/>
      <family val="2"/>
    </font>
    <font>
      <sz val="11"/>
      <color theme="1"/>
      <name val="Arial"/>
      <family val="2"/>
    </font>
    <font>
      <sz val="12"/>
      <color theme="1"/>
      <name val="Arial"/>
      <family val="2"/>
    </font>
    <font>
      <sz val="12"/>
      <color theme="1"/>
      <name val="Calibri"/>
      <family val="2"/>
      <scheme val="minor"/>
    </font>
    <font>
      <b/>
      <u/>
      <sz val="12"/>
      <name val="Arial"/>
      <family val="2"/>
    </font>
    <font>
      <b/>
      <sz val="12"/>
      <color theme="1"/>
      <name val="Arial"/>
      <family val="2"/>
    </font>
    <font>
      <vertAlign val="superscript"/>
      <sz val="12"/>
      <name val="Arial"/>
      <family val="2"/>
    </font>
    <font>
      <strike/>
      <sz val="12"/>
      <color theme="1"/>
      <name val="Arial"/>
      <family val="2"/>
    </font>
    <font>
      <strike/>
      <sz val="12"/>
      <name val="Arial"/>
      <family val="2"/>
    </font>
    <font>
      <sz val="12"/>
      <color indexed="10"/>
      <name val="Arial"/>
      <family val="2"/>
    </font>
    <font>
      <i/>
      <sz val="12"/>
      <color theme="1"/>
      <name val="Arial"/>
      <family val="2"/>
    </font>
    <font>
      <sz val="12"/>
      <color indexed="8"/>
      <name val="Arial"/>
      <family val="2"/>
    </font>
  </fonts>
  <fills count="5">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rgb="FFFFCC99"/>
        <bgColor indexed="64"/>
      </patternFill>
    </fill>
  </fills>
  <borders count="22">
    <border>
      <left/>
      <right/>
      <top/>
      <bottom/>
      <diagonal/>
    </border>
    <border>
      <left/>
      <right/>
      <top style="thin">
        <color indexed="8"/>
      </top>
      <bottom/>
      <diagonal/>
    </border>
    <border>
      <left/>
      <right/>
      <top/>
      <bottom style="thin">
        <color indexed="8"/>
      </bottom>
      <diagonal/>
    </border>
    <border>
      <left/>
      <right/>
      <top style="double">
        <color indexed="8"/>
      </top>
      <bottom/>
      <diagonal/>
    </border>
    <border>
      <left/>
      <right/>
      <top/>
      <bottom style="double">
        <color theme="1"/>
      </bottom>
      <diagonal/>
    </border>
    <border>
      <left/>
      <right/>
      <top/>
      <bottom style="thin">
        <color theme="1"/>
      </bottom>
      <diagonal/>
    </border>
    <border>
      <left/>
      <right/>
      <top/>
      <bottom style="thin">
        <color indexed="64"/>
      </bottom>
      <diagonal/>
    </border>
    <border>
      <left/>
      <right/>
      <top style="thin">
        <color indexed="64"/>
      </top>
      <bottom/>
      <diagonal/>
    </border>
    <border>
      <left/>
      <right/>
      <top style="double">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n">
        <color indexed="8"/>
      </bottom>
      <diagonal/>
    </border>
  </borders>
  <cellStyleXfs count="8">
    <xf numFmtId="0" fontId="0" fillId="0" borderId="0"/>
    <xf numFmtId="0" fontId="8"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7" fillId="0" borderId="0"/>
  </cellStyleXfs>
  <cellXfs count="458">
    <xf numFmtId="0" fontId="0" fillId="0" borderId="0" xfId="0"/>
    <xf numFmtId="0" fontId="0" fillId="0" borderId="0" xfId="0" applyFill="1" applyBorder="1" applyProtection="1"/>
    <xf numFmtId="0" fontId="0" fillId="0" borderId="0" xfId="0" applyFill="1"/>
    <xf numFmtId="166" fontId="2" fillId="0" borderId="0" xfId="0" applyNumberFormat="1" applyFont="1" applyFill="1" applyBorder="1" applyAlignment="1" applyProtection="1">
      <alignment horizontal="center"/>
    </xf>
    <xf numFmtId="0" fontId="1" fillId="0" borderId="0" xfId="0" applyFont="1" applyProtection="1"/>
    <xf numFmtId="0" fontId="4" fillId="0" borderId="0" xfId="0" applyFont="1" applyProtection="1"/>
    <xf numFmtId="0" fontId="5" fillId="0" borderId="0" xfId="0" applyFont="1"/>
    <xf numFmtId="0" fontId="5" fillId="0" borderId="0" xfId="0" applyFont="1" applyProtection="1"/>
    <xf numFmtId="0" fontId="6" fillId="0" borderId="0" xfId="0" applyFont="1"/>
    <xf numFmtId="168" fontId="7" fillId="0" borderId="0" xfId="0" applyNumberFormat="1" applyFont="1" applyFill="1" applyBorder="1" applyProtection="1"/>
    <xf numFmtId="0" fontId="7" fillId="0" borderId="0" xfId="0" applyFont="1" applyFill="1" applyBorder="1"/>
    <xf numFmtId="0" fontId="7" fillId="0" borderId="0" xfId="0" applyFont="1" applyFill="1"/>
    <xf numFmtId="0" fontId="2" fillId="0" borderId="0" xfId="0" applyFont="1"/>
    <xf numFmtId="0" fontId="7" fillId="0" borderId="0" xfId="0" applyFont="1"/>
    <xf numFmtId="3" fontId="7" fillId="0" borderId="0" xfId="0" applyNumberFormat="1" applyFont="1"/>
    <xf numFmtId="9" fontId="7" fillId="0" borderId="0" xfId="0" applyNumberFormat="1" applyFont="1"/>
    <xf numFmtId="0" fontId="7" fillId="0" borderId="0" xfId="0" quotePrefix="1" applyFont="1"/>
    <xf numFmtId="0" fontId="10" fillId="0" borderId="0" xfId="0" applyFont="1"/>
    <xf numFmtId="2" fontId="6" fillId="0" borderId="0" xfId="0" applyNumberFormat="1" applyFont="1"/>
    <xf numFmtId="0" fontId="2" fillId="0" borderId="0" xfId="0" applyFont="1" applyFill="1" applyBorder="1"/>
    <xf numFmtId="1" fontId="7" fillId="0" borderId="0" xfId="0" applyNumberFormat="1" applyFont="1" applyBorder="1"/>
    <xf numFmtId="1" fontId="7" fillId="0" borderId="0" xfId="0" applyNumberFormat="1" applyFont="1" applyAlignment="1" applyProtection="1">
      <alignment horizontal="right"/>
    </xf>
    <xf numFmtId="168" fontId="8" fillId="0" borderId="0" xfId="0" applyNumberFormat="1" applyFont="1" applyFill="1" applyAlignment="1">
      <alignment horizontal="right"/>
    </xf>
    <xf numFmtId="3" fontId="7" fillId="0" borderId="0" xfId="0" applyNumberFormat="1" applyFont="1" applyFill="1" applyAlignment="1">
      <alignment horizontal="right"/>
    </xf>
    <xf numFmtId="3" fontId="7" fillId="0" borderId="1" xfId="0" applyNumberFormat="1" applyFont="1" applyFill="1" applyBorder="1" applyAlignment="1">
      <alignment horizontal="right"/>
    </xf>
    <xf numFmtId="3" fontId="7" fillId="0" borderId="0" xfId="0" applyNumberFormat="1" applyFont="1" applyFill="1"/>
    <xf numFmtId="0" fontId="1" fillId="0" borderId="0" xfId="0" applyFont="1" applyBorder="1" applyProtection="1"/>
    <xf numFmtId="0" fontId="1" fillId="0" borderId="0" xfId="0" applyFont="1" applyFill="1" applyBorder="1" applyProtection="1"/>
    <xf numFmtId="37" fontId="7" fillId="0" borderId="0" xfId="0" applyNumberFormat="1" applyFont="1" applyFill="1" applyBorder="1" applyProtection="1"/>
    <xf numFmtId="3" fontId="7" fillId="0" borderId="0" xfId="0" applyNumberFormat="1" applyFont="1" applyFill="1" applyBorder="1" applyProtection="1"/>
    <xf numFmtId="171" fontId="7" fillId="0" borderId="0" xfId="0" applyNumberFormat="1" applyFont="1" applyFill="1" applyBorder="1" applyProtection="1"/>
    <xf numFmtId="172" fontId="7" fillId="0" borderId="0" xfId="0" applyNumberFormat="1" applyFont="1" applyFill="1" applyBorder="1" applyProtection="1"/>
    <xf numFmtId="169" fontId="7" fillId="0" borderId="0" xfId="0" applyNumberFormat="1" applyFont="1" applyFill="1" applyBorder="1" applyProtection="1"/>
    <xf numFmtId="2" fontId="7" fillId="0" borderId="0" xfId="0" applyNumberFormat="1" applyFont="1" applyFill="1" applyBorder="1" applyProtection="1"/>
    <xf numFmtId="0" fontId="7" fillId="0" borderId="0" xfId="0" applyFont="1" applyFill="1" applyBorder="1" applyProtection="1"/>
    <xf numFmtId="3" fontId="2" fillId="0" borderId="0" xfId="0" applyNumberFormat="1" applyFont="1" applyFill="1" applyBorder="1"/>
    <xf numFmtId="0" fontId="7" fillId="0" borderId="0" xfId="0" applyFont="1" applyFill="1" applyBorder="1" applyAlignment="1">
      <alignment horizontal="right"/>
    </xf>
    <xf numFmtId="9" fontId="7" fillId="0" borderId="0" xfId="0" applyNumberFormat="1" applyFont="1" applyFill="1" applyBorder="1" applyProtection="1"/>
    <xf numFmtId="174" fontId="7" fillId="0" borderId="0" xfId="0" applyNumberFormat="1" applyFont="1" applyFill="1" applyBorder="1" applyProtection="1"/>
    <xf numFmtId="0" fontId="2" fillId="0" borderId="0" xfId="0" applyFont="1" applyBorder="1" applyProtection="1"/>
    <xf numFmtId="0" fontId="2" fillId="0" borderId="0" xfId="0" applyFont="1" applyFill="1" applyBorder="1" applyProtection="1"/>
    <xf numFmtId="0" fontId="2" fillId="0" borderId="0" xfId="0" applyFont="1" applyBorder="1"/>
    <xf numFmtId="0" fontId="2" fillId="0" borderId="0" xfId="0" applyFont="1" applyFill="1" applyBorder="1" applyAlignment="1" applyProtection="1">
      <alignment horizontal="right"/>
    </xf>
    <xf numFmtId="5" fontId="2" fillId="0" borderId="0" xfId="0" applyNumberFormat="1" applyFont="1" applyFill="1" applyBorder="1" applyProtection="1"/>
    <xf numFmtId="5" fontId="7" fillId="0" borderId="4" xfId="0" applyNumberFormat="1" applyFont="1" applyFill="1" applyBorder="1" applyProtection="1"/>
    <xf numFmtId="0" fontId="7" fillId="0" borderId="0" xfId="0" quotePrefix="1" applyFont="1" applyFill="1" applyBorder="1"/>
    <xf numFmtId="0" fontId="7" fillId="0" borderId="0" xfId="0" applyFont="1" applyFill="1" applyBorder="1" applyAlignment="1">
      <alignment horizontal="center"/>
    </xf>
    <xf numFmtId="0" fontId="7" fillId="0" borderId="2" xfId="0" applyFont="1" applyFill="1" applyBorder="1" applyAlignment="1">
      <alignment horizontal="right"/>
    </xf>
    <xf numFmtId="0" fontId="7" fillId="0" borderId="2" xfId="0" applyFont="1" applyFill="1" applyBorder="1"/>
    <xf numFmtId="0" fontId="7" fillId="0" borderId="0" xfId="0" applyFont="1" applyFill="1" applyBorder="1" applyAlignment="1">
      <alignment horizontal="left"/>
    </xf>
    <xf numFmtId="0" fontId="7" fillId="0" borderId="0" xfId="0" applyFont="1" applyFill="1" applyBorder="1" applyAlignment="1"/>
    <xf numFmtId="0" fontId="2" fillId="0" borderId="0" xfId="0" applyFont="1" applyProtection="1"/>
    <xf numFmtId="5" fontId="7" fillId="0" borderId="0" xfId="0" applyNumberFormat="1" applyFont="1" applyFill="1"/>
    <xf numFmtId="5" fontId="2" fillId="0" borderId="3" xfId="0" applyNumberFormat="1" applyFont="1" applyFill="1" applyBorder="1"/>
    <xf numFmtId="5" fontId="2" fillId="0" borderId="0" xfId="0" applyNumberFormat="1" applyFont="1" applyBorder="1" applyProtection="1"/>
    <xf numFmtId="0" fontId="7" fillId="0" borderId="0" xfId="0" applyFont="1" applyBorder="1"/>
    <xf numFmtId="0" fontId="7" fillId="0" borderId="0" xfId="0" applyFont="1" applyFill="1" applyBorder="1" applyAlignment="1">
      <alignment horizontal="left" indent="1"/>
    </xf>
    <xf numFmtId="0" fontId="7" fillId="0" borderId="0" xfId="0" applyFont="1" applyBorder="1" applyAlignment="1">
      <alignment horizontal="center"/>
    </xf>
    <xf numFmtId="0" fontId="2" fillId="0" borderId="0" xfId="0" applyFont="1" applyBorder="1" applyAlignment="1" applyProtection="1">
      <alignment horizontal="left" indent="1"/>
    </xf>
    <xf numFmtId="0" fontId="7" fillId="0" borderId="0" xfId="0" applyFont="1" applyBorder="1" applyAlignment="1" applyProtection="1">
      <alignment horizontal="center"/>
    </xf>
    <xf numFmtId="5" fontId="7" fillId="0" borderId="0" xfId="0" applyNumberFormat="1" applyFont="1" applyFill="1" applyBorder="1" applyProtection="1"/>
    <xf numFmtId="0" fontId="7" fillId="0" borderId="0" xfId="0" applyFont="1" applyAlignment="1">
      <alignment horizontal="right"/>
    </xf>
    <xf numFmtId="0" fontId="2" fillId="0" borderId="0" xfId="0" applyFont="1" applyFill="1" applyBorder="1" applyAlignment="1">
      <alignment horizontal="left" indent="1"/>
    </xf>
    <xf numFmtId="5" fontId="2" fillId="0" borderId="0" xfId="0" applyNumberFormat="1" applyFont="1" applyFill="1" applyBorder="1"/>
    <xf numFmtId="3" fontId="14" fillId="0" borderId="0" xfId="0" applyNumberFormat="1" applyFont="1"/>
    <xf numFmtId="0" fontId="1" fillId="0" borderId="0" xfId="0" applyFont="1" applyBorder="1" applyAlignment="1" applyProtection="1">
      <alignment horizontal="left" indent="1"/>
    </xf>
    <xf numFmtId="0" fontId="2" fillId="0" borderId="0" xfId="0" applyFont="1" applyAlignment="1">
      <alignment horizontal="right"/>
    </xf>
    <xf numFmtId="0" fontId="7" fillId="0" borderId="0" xfId="0" applyFont="1" applyBorder="1" applyAlignment="1">
      <alignment horizontal="right"/>
    </xf>
    <xf numFmtId="0" fontId="7" fillId="0" borderId="0" xfId="0" applyFont="1" applyFill="1" applyBorder="1" applyAlignment="1">
      <alignment horizontal="right" indent="1"/>
    </xf>
    <xf numFmtId="0" fontId="2" fillId="0" borderId="0" xfId="0" applyFont="1" applyBorder="1" applyAlignment="1">
      <alignment horizontal="right"/>
    </xf>
    <xf numFmtId="0" fontId="2" fillId="0" borderId="0" xfId="0" applyFont="1" applyFill="1" applyBorder="1" applyAlignment="1">
      <alignment horizontal="right"/>
    </xf>
    <xf numFmtId="0" fontId="7" fillId="0" borderId="0" xfId="0" applyFont="1" applyAlignment="1">
      <alignment horizontal="center"/>
    </xf>
    <xf numFmtId="0" fontId="1" fillId="0" borderId="0" xfId="0" applyFont="1" applyBorder="1"/>
    <xf numFmtId="164" fontId="7" fillId="0" borderId="0" xfId="0" applyNumberFormat="1" applyFont="1" applyBorder="1" applyAlignment="1" applyProtection="1">
      <alignment horizontal="right"/>
    </xf>
    <xf numFmtId="0" fontId="6" fillId="0" borderId="0" xfId="0" applyFont="1" applyBorder="1"/>
    <xf numFmtId="0" fontId="11" fillId="0" borderId="0" xfId="0" applyFont="1" applyFill="1" applyBorder="1" applyAlignment="1">
      <alignment horizontal="left" indent="1"/>
    </xf>
    <xf numFmtId="5" fontId="7" fillId="0" borderId="0" xfId="0" applyNumberFormat="1" applyFont="1" applyFill="1" applyBorder="1" applyAlignment="1" applyProtection="1">
      <alignment horizontal="right"/>
    </xf>
    <xf numFmtId="0" fontId="7" fillId="0" borderId="0" xfId="0" applyFont="1" applyBorder="1" applyAlignment="1"/>
    <xf numFmtId="5" fontId="7" fillId="0" borderId="2" xfId="0" applyNumberFormat="1" applyFont="1" applyFill="1" applyBorder="1" applyProtection="1"/>
    <xf numFmtId="168" fontId="7" fillId="0" borderId="0" xfId="0" applyNumberFormat="1" applyFont="1" applyFill="1" applyBorder="1"/>
    <xf numFmtId="5" fontId="2" fillId="0" borderId="1" xfId="0" applyNumberFormat="1" applyFont="1" applyFill="1" applyBorder="1" applyProtection="1"/>
    <xf numFmtId="0" fontId="1" fillId="0" borderId="0" xfId="0" applyFont="1" applyFill="1" applyBorder="1"/>
    <xf numFmtId="0" fontId="15" fillId="0" borderId="0" xfId="0" applyFont="1" applyBorder="1" applyAlignment="1">
      <alignment horizontal="center"/>
    </xf>
    <xf numFmtId="166" fontId="2" fillId="0" borderId="0" xfId="0" applyNumberFormat="1" applyFont="1" applyAlignment="1">
      <alignment horizontal="center"/>
    </xf>
    <xf numFmtId="0" fontId="0" fillId="0" borderId="0" xfId="0" applyFont="1"/>
    <xf numFmtId="0" fontId="2" fillId="0" borderId="0" xfId="0" applyFont="1" applyAlignment="1">
      <alignment horizontal="center"/>
    </xf>
    <xf numFmtId="0" fontId="0" fillId="0" borderId="0" xfId="0" applyFont="1" applyAlignment="1">
      <alignment vertical="center"/>
    </xf>
    <xf numFmtId="0" fontId="0" fillId="0" borderId="0" xfId="0" applyFont="1" applyFill="1"/>
    <xf numFmtId="166" fontId="2" fillId="0" borderId="0" xfId="0" applyNumberFormat="1" applyFont="1" applyFill="1"/>
    <xf numFmtId="166" fontId="7" fillId="0" borderId="0" xfId="0" applyNumberFormat="1" applyFont="1" applyFill="1" applyBorder="1"/>
    <xf numFmtId="0" fontId="17" fillId="0" borderId="0" xfId="0" applyFont="1"/>
    <xf numFmtId="0" fontId="17" fillId="0" borderId="0" xfId="0" applyFont="1" applyFill="1" applyBorder="1" applyProtection="1"/>
    <xf numFmtId="0" fontId="17" fillId="0" borderId="0" xfId="0" applyFont="1" applyProtection="1"/>
    <xf numFmtId="0" fontId="17" fillId="0" borderId="0" xfId="0" applyFont="1" applyAlignment="1" applyProtection="1">
      <alignment horizontal="right"/>
    </xf>
    <xf numFmtId="164" fontId="17" fillId="0" borderId="0" xfId="0" applyNumberFormat="1" applyFont="1" applyAlignment="1" applyProtection="1">
      <alignment horizontal="right"/>
    </xf>
    <xf numFmtId="14" fontId="17" fillId="0" borderId="0" xfId="0" applyNumberFormat="1" applyFont="1"/>
    <xf numFmtId="0" fontId="18" fillId="0" borderId="0" xfId="0" applyFont="1" applyFill="1" applyBorder="1"/>
    <xf numFmtId="0" fontId="18" fillId="0" borderId="0" xfId="0" applyFont="1" applyFill="1" applyBorder="1" applyProtection="1"/>
    <xf numFmtId="0" fontId="18" fillId="0" borderId="0" xfId="0" applyFont="1" applyFill="1" applyBorder="1" applyAlignment="1">
      <alignment horizontal="right"/>
    </xf>
    <xf numFmtId="0" fontId="18" fillId="0" borderId="0" xfId="0" applyFont="1" applyFill="1"/>
    <xf numFmtId="0" fontId="18" fillId="0" borderId="0" xfId="0" applyFont="1" applyFill="1" applyBorder="1" applyAlignment="1" applyProtection="1">
      <alignment horizontal="left"/>
    </xf>
    <xf numFmtId="14" fontId="18" fillId="0" borderId="0" xfId="0" applyNumberFormat="1" applyFont="1" applyFill="1" applyBorder="1" applyProtection="1"/>
    <xf numFmtId="0" fontId="18" fillId="0" borderId="0" xfId="0" applyFont="1" applyProtection="1"/>
    <xf numFmtId="0" fontId="18" fillId="0" borderId="0" xfId="0" applyFont="1" applyBorder="1"/>
    <xf numFmtId="0" fontId="18" fillId="0" borderId="0" xfId="0" applyFont="1" applyBorder="1" applyAlignment="1" applyProtection="1">
      <alignment horizontal="right"/>
    </xf>
    <xf numFmtId="0" fontId="18" fillId="0" borderId="0" xfId="0" applyFont="1"/>
    <xf numFmtId="0" fontId="18" fillId="0" borderId="0" xfId="0" applyFont="1" applyAlignment="1" applyProtection="1">
      <alignment horizontal="right"/>
    </xf>
    <xf numFmtId="164" fontId="18" fillId="0" borderId="0" xfId="0" applyNumberFormat="1" applyFont="1" applyBorder="1" applyAlignment="1" applyProtection="1">
      <alignment horizontal="right"/>
    </xf>
    <xf numFmtId="167" fontId="18" fillId="0" borderId="0" xfId="0" applyNumberFormat="1" applyFont="1"/>
    <xf numFmtId="0" fontId="18" fillId="0" borderId="0" xfId="0" quotePrefix="1" applyFont="1"/>
    <xf numFmtId="168" fontId="18" fillId="0" borderId="0" xfId="0" applyNumberFormat="1" applyFont="1"/>
    <xf numFmtId="3" fontId="18" fillId="0" borderId="0" xfId="0" applyNumberFormat="1" applyFont="1"/>
    <xf numFmtId="9" fontId="18" fillId="0" borderId="0" xfId="0" applyNumberFormat="1" applyFont="1"/>
    <xf numFmtId="9" fontId="18" fillId="0" borderId="0" xfId="0" quotePrefix="1" applyNumberFormat="1" applyFont="1"/>
    <xf numFmtId="164" fontId="18" fillId="0" borderId="0" xfId="0" applyNumberFormat="1" applyFont="1" applyAlignment="1" applyProtection="1">
      <alignment horizontal="right"/>
    </xf>
    <xf numFmtId="0" fontId="18" fillId="0" borderId="0" xfId="0" applyFont="1" applyAlignment="1">
      <alignment horizontal="right"/>
    </xf>
    <xf numFmtId="168" fontId="18" fillId="0" borderId="0" xfId="0" applyNumberFormat="1" applyFont="1" applyFill="1"/>
    <xf numFmtId="0" fontId="18" fillId="0" borderId="0" xfId="0" applyFont="1" applyAlignment="1">
      <alignment horizontal="left"/>
    </xf>
    <xf numFmtId="0" fontId="18" fillId="0" borderId="0" xfId="0" quotePrefix="1" applyFont="1" applyFill="1"/>
    <xf numFmtId="0" fontId="18" fillId="0" borderId="0" xfId="0" applyFont="1" applyFill="1" applyAlignment="1">
      <alignment horizontal="right"/>
    </xf>
    <xf numFmtId="14" fontId="18" fillId="0" borderId="0" xfId="0" applyNumberFormat="1" applyFont="1" applyFill="1" applyBorder="1"/>
    <xf numFmtId="164" fontId="18" fillId="0" borderId="0" xfId="0" applyNumberFormat="1" applyFont="1" applyProtection="1"/>
    <xf numFmtId="0" fontId="18" fillId="0" borderId="0" xfId="0" applyFont="1" applyBorder="1" applyAlignment="1">
      <alignment horizontal="right"/>
    </xf>
    <xf numFmtId="0" fontId="18" fillId="0" borderId="0" xfId="0" applyFont="1" applyAlignment="1">
      <alignment horizontal="center"/>
    </xf>
    <xf numFmtId="0" fontId="18" fillId="0" borderId="2" xfId="0" applyFont="1" applyBorder="1"/>
    <xf numFmtId="0" fontId="18" fillId="0" borderId="2" xfId="0" applyFont="1" applyBorder="1" applyAlignment="1">
      <alignment horizontal="right"/>
    </xf>
    <xf numFmtId="0" fontId="18" fillId="0" borderId="2" xfId="0" quotePrefix="1" applyFont="1" applyBorder="1" applyAlignment="1">
      <alignment horizontal="right"/>
    </xf>
    <xf numFmtId="0" fontId="18" fillId="0" borderId="2" xfId="0" applyFont="1" applyBorder="1" applyAlignment="1">
      <alignment horizontal="center"/>
    </xf>
    <xf numFmtId="0" fontId="18" fillId="0" borderId="2" xfId="0" applyFont="1" applyBorder="1" applyAlignment="1" applyProtection="1">
      <alignment horizontal="right"/>
    </xf>
    <xf numFmtId="2" fontId="18" fillId="0" borderId="0" xfId="0" applyNumberFormat="1" applyFont="1"/>
    <xf numFmtId="3" fontId="18" fillId="0" borderId="0" xfId="0" applyNumberFormat="1" applyFont="1" applyFill="1"/>
    <xf numFmtId="37" fontId="18" fillId="0" borderId="0" xfId="0" applyNumberFormat="1" applyFont="1" applyFill="1" applyProtection="1"/>
    <xf numFmtId="10" fontId="18" fillId="0" borderId="0" xfId="0" quotePrefix="1" applyNumberFormat="1" applyFont="1" applyFill="1" applyBorder="1"/>
    <xf numFmtId="0" fontId="18" fillId="0" borderId="0" xfId="0" quotePrefix="1" applyFont="1" applyFill="1" applyBorder="1"/>
    <xf numFmtId="5" fontId="18" fillId="0" borderId="0" xfId="0" applyNumberFormat="1" applyFont="1" applyBorder="1"/>
    <xf numFmtId="5" fontId="18" fillId="0" borderId="0" xfId="0" applyNumberFormat="1" applyFont="1"/>
    <xf numFmtId="5" fontId="18" fillId="0" borderId="0" xfId="0" applyNumberFormat="1" applyFont="1" applyFill="1"/>
    <xf numFmtId="5" fontId="18" fillId="0" borderId="3" xfId="0" applyNumberFormat="1" applyFont="1" applyFill="1" applyBorder="1"/>
    <xf numFmtId="0" fontId="18" fillId="0" borderId="0" xfId="0" applyFont="1" applyFill="1" applyBorder="1" applyAlignment="1" applyProtection="1">
      <alignment horizontal="left" indent="1"/>
    </xf>
    <xf numFmtId="0" fontId="18" fillId="0" borderId="0" xfId="0" applyFont="1" applyAlignment="1" applyProtection="1">
      <alignment horizontal="center"/>
    </xf>
    <xf numFmtId="0" fontId="18" fillId="0" borderId="2" xfId="0" applyFont="1" applyBorder="1" applyProtection="1"/>
    <xf numFmtId="0" fontId="18" fillId="0" borderId="2" xfId="0" applyFont="1" applyBorder="1" applyAlignment="1" applyProtection="1">
      <alignment horizontal="center"/>
    </xf>
    <xf numFmtId="0" fontId="18" fillId="0" borderId="0" xfId="0" applyFont="1" applyFill="1" applyAlignment="1" applyProtection="1">
      <alignment horizontal="left"/>
    </xf>
    <xf numFmtId="9" fontId="18" fillId="0" borderId="0" xfId="0" applyNumberFormat="1" applyFont="1" applyFill="1" applyAlignment="1">
      <alignment horizontal="right"/>
    </xf>
    <xf numFmtId="168" fontId="7" fillId="0" borderId="0" xfId="0" applyNumberFormat="1" applyFont="1" applyFill="1" applyAlignment="1">
      <alignment horizontal="right"/>
    </xf>
    <xf numFmtId="1" fontId="18" fillId="0" borderId="0" xfId="0" applyNumberFormat="1" applyFont="1" applyFill="1" applyAlignment="1">
      <alignment horizontal="right"/>
    </xf>
    <xf numFmtId="3" fontId="18" fillId="0" borderId="0" xfId="0" applyNumberFormat="1" applyFont="1" applyFill="1" applyAlignment="1">
      <alignment horizontal="right"/>
    </xf>
    <xf numFmtId="1" fontId="18" fillId="0" borderId="0" xfId="0" applyNumberFormat="1" applyFont="1" applyAlignment="1">
      <alignment horizontal="right"/>
    </xf>
    <xf numFmtId="3" fontId="18" fillId="0" borderId="0" xfId="0" applyNumberFormat="1" applyFont="1" applyFill="1" applyAlignment="1">
      <alignment horizontal="left"/>
    </xf>
    <xf numFmtId="3" fontId="18" fillId="0" borderId="1" xfId="0" applyNumberFormat="1" applyFont="1" applyFill="1" applyBorder="1"/>
    <xf numFmtId="3" fontId="18" fillId="0" borderId="0" xfId="0" applyNumberFormat="1" applyFont="1" applyFill="1" applyBorder="1"/>
    <xf numFmtId="3" fontId="18" fillId="0" borderId="0" xfId="0" applyNumberFormat="1" applyFont="1" applyAlignment="1">
      <alignment horizontal="right"/>
    </xf>
    <xf numFmtId="0" fontId="18" fillId="0" borderId="0" xfId="0" applyFont="1" applyBorder="1" applyProtection="1"/>
    <xf numFmtId="0" fontId="18" fillId="0" borderId="0" xfId="0" applyFont="1" applyFill="1" applyBorder="1" applyAlignment="1" applyProtection="1">
      <alignment horizontal="right"/>
    </xf>
    <xf numFmtId="2" fontId="18" fillId="0" borderId="0" xfId="0" applyNumberFormat="1" applyFont="1" applyFill="1" applyBorder="1" applyProtection="1"/>
    <xf numFmtId="2" fontId="18" fillId="0" borderId="0" xfId="0" applyNumberFormat="1" applyFont="1" applyFill="1" applyBorder="1"/>
    <xf numFmtId="170" fontId="18" fillId="0" borderId="0" xfId="0" applyNumberFormat="1" applyFont="1" applyFill="1" applyBorder="1" applyProtection="1"/>
    <xf numFmtId="3" fontId="18" fillId="0" borderId="0" xfId="0" applyNumberFormat="1" applyFont="1" applyFill="1" applyBorder="1" applyProtection="1"/>
    <xf numFmtId="1" fontId="18" fillId="0" borderId="0" xfId="0" applyNumberFormat="1" applyFont="1" applyFill="1" applyBorder="1" applyProtection="1"/>
    <xf numFmtId="0" fontId="19" fillId="0" borderId="0" xfId="0" applyFont="1"/>
    <xf numFmtId="0" fontId="19" fillId="0" borderId="0" xfId="0" applyFont="1" applyBorder="1"/>
    <xf numFmtId="164" fontId="19" fillId="0" borderId="0" xfId="0" applyNumberFormat="1" applyFont="1" applyBorder="1" applyAlignment="1" applyProtection="1">
      <alignment horizontal="right"/>
    </xf>
    <xf numFmtId="0" fontId="19" fillId="0" borderId="0" xfId="0" applyFont="1" applyFill="1" applyBorder="1"/>
    <xf numFmtId="171" fontId="18" fillId="0" borderId="0" xfId="0" applyNumberFormat="1" applyFont="1" applyFill="1" applyBorder="1" applyProtection="1"/>
    <xf numFmtId="37" fontId="18" fillId="0" borderId="0" xfId="0" applyNumberFormat="1" applyFont="1" applyFill="1" applyBorder="1" applyProtection="1"/>
    <xf numFmtId="0" fontId="18" fillId="0" borderId="0" xfId="0" applyFont="1" applyFill="1" applyBorder="1" applyAlignment="1">
      <alignment horizontal="left"/>
    </xf>
    <xf numFmtId="169" fontId="18" fillId="0" borderId="0" xfId="0" applyNumberFormat="1" applyFont="1" applyFill="1" applyBorder="1" applyProtection="1"/>
    <xf numFmtId="39" fontId="18" fillId="0" borderId="0" xfId="0" applyNumberFormat="1" applyFont="1" applyFill="1" applyBorder="1" applyProtection="1"/>
    <xf numFmtId="0" fontId="18" fillId="0" borderId="0" xfId="0" applyFont="1" applyBorder="1" applyAlignment="1">
      <alignment horizontal="left"/>
    </xf>
    <xf numFmtId="2" fontId="18" fillId="0" borderId="0" xfId="0" applyNumberFormat="1" applyFont="1" applyFill="1" applyBorder="1" applyAlignment="1">
      <alignment horizontal="right"/>
    </xf>
    <xf numFmtId="170" fontId="18" fillId="0" borderId="0" xfId="0" applyNumberFormat="1" applyFont="1" applyFill="1" applyBorder="1"/>
    <xf numFmtId="173" fontId="18" fillId="0" borderId="0" xfId="0" applyNumberFormat="1" applyFont="1" applyFill="1" applyBorder="1" applyProtection="1"/>
    <xf numFmtId="3" fontId="18" fillId="0" borderId="0" xfId="0" applyNumberFormat="1" applyFont="1" applyFill="1" applyBorder="1" applyAlignment="1" applyProtection="1">
      <alignment horizontal="right"/>
    </xf>
    <xf numFmtId="164" fontId="18" fillId="0" borderId="0" xfId="0" applyNumberFormat="1" applyFont="1" applyFill="1" applyBorder="1" applyAlignment="1" applyProtection="1">
      <alignment horizontal="right"/>
    </xf>
    <xf numFmtId="5" fontId="18" fillId="0" borderId="0" xfId="0" applyNumberFormat="1" applyFont="1" applyFill="1" applyBorder="1" applyProtection="1"/>
    <xf numFmtId="0" fontId="18" fillId="0" borderId="0" xfId="0" quotePrefix="1" applyFont="1" applyFill="1" applyBorder="1" applyAlignment="1">
      <alignment horizontal="right"/>
    </xf>
    <xf numFmtId="169" fontId="18" fillId="0" borderId="0" xfId="0" applyNumberFormat="1" applyFont="1" applyFill="1" applyBorder="1"/>
    <xf numFmtId="168" fontId="18" fillId="0" borderId="0" xfId="0" applyNumberFormat="1" applyFont="1" applyFill="1" applyBorder="1" applyProtection="1"/>
    <xf numFmtId="168" fontId="18" fillId="0" borderId="0" xfId="0" applyNumberFormat="1" applyFont="1" applyFill="1" applyBorder="1"/>
    <xf numFmtId="3" fontId="19" fillId="0" borderId="0" xfId="0" applyNumberFormat="1" applyFont="1"/>
    <xf numFmtId="10" fontId="7" fillId="0" borderId="0" xfId="0" applyNumberFormat="1" applyFont="1" applyFill="1" applyBorder="1" applyAlignment="1" applyProtection="1">
      <alignment horizontal="left"/>
    </xf>
    <xf numFmtId="0" fontId="18" fillId="0" borderId="0" xfId="0" applyFont="1" applyFill="1" applyBorder="1" applyAlignment="1" applyProtection="1">
      <alignment horizontal="center"/>
    </xf>
    <xf numFmtId="172" fontId="18" fillId="0" borderId="0" xfId="0" applyNumberFormat="1" applyFont="1" applyBorder="1" applyProtection="1"/>
    <xf numFmtId="171" fontId="18" fillId="0" borderId="0" xfId="0" applyNumberFormat="1" applyFont="1" applyBorder="1" applyProtection="1"/>
    <xf numFmtId="37" fontId="18" fillId="0" borderId="0" xfId="0" applyNumberFormat="1" applyFont="1" applyBorder="1" applyProtection="1"/>
    <xf numFmtId="37" fontId="18" fillId="0" borderId="0" xfId="0" applyNumberFormat="1" applyFont="1" applyFill="1" applyBorder="1" applyAlignment="1" applyProtection="1">
      <alignment horizontal="left"/>
    </xf>
    <xf numFmtId="172" fontId="18" fillId="0" borderId="0" xfId="0" applyNumberFormat="1" applyFont="1" applyFill="1" applyBorder="1" applyProtection="1"/>
    <xf numFmtId="172" fontId="18" fillId="0" borderId="0" xfId="0" applyNumberFormat="1" applyFont="1" applyBorder="1" applyAlignment="1" applyProtection="1">
      <alignment horizontal="right"/>
    </xf>
    <xf numFmtId="37" fontId="18" fillId="0" borderId="0" xfId="0" applyNumberFormat="1" applyFont="1" applyFill="1" applyBorder="1" applyAlignment="1" applyProtection="1">
      <alignment horizontal="right"/>
    </xf>
    <xf numFmtId="3" fontId="18" fillId="0" borderId="1" xfId="0" applyNumberFormat="1" applyFont="1" applyFill="1" applyBorder="1" applyProtection="1"/>
    <xf numFmtId="37" fontId="18" fillId="0" borderId="1" xfId="0" applyNumberFormat="1" applyFont="1" applyFill="1" applyBorder="1" applyProtection="1"/>
    <xf numFmtId="172" fontId="18" fillId="0" borderId="0" xfId="0" applyNumberFormat="1" applyFont="1" applyFill="1" applyBorder="1" applyAlignment="1" applyProtection="1">
      <alignment horizontal="right"/>
    </xf>
    <xf numFmtId="2" fontId="18" fillId="0" borderId="0" xfId="0" applyNumberFormat="1" applyFont="1" applyFill="1"/>
    <xf numFmtId="3" fontId="18" fillId="0" borderId="0" xfId="0" applyNumberFormat="1" applyFont="1" applyFill="1" applyBorder="1" applyAlignment="1" applyProtection="1">
      <alignment horizontal="left"/>
    </xf>
    <xf numFmtId="37" fontId="18" fillId="0" borderId="0" xfId="0" applyNumberFormat="1" applyFont="1" applyFill="1" applyBorder="1"/>
    <xf numFmtId="2" fontId="18" fillId="0" borderId="0" xfId="0" applyNumberFormat="1" applyFont="1" applyBorder="1"/>
    <xf numFmtId="167" fontId="18" fillId="0" borderId="0" xfId="0" applyNumberFormat="1" applyFont="1" applyFill="1" applyBorder="1" applyAlignment="1">
      <alignment horizontal="right"/>
    </xf>
    <xf numFmtId="0" fontId="18" fillId="0" borderId="1" xfId="0" applyFont="1" applyBorder="1" applyProtection="1"/>
    <xf numFmtId="37" fontId="18" fillId="0" borderId="1" xfId="0" applyNumberFormat="1" applyFont="1" applyBorder="1" applyProtection="1"/>
    <xf numFmtId="8" fontId="18" fillId="0" borderId="0" xfId="0" applyNumberFormat="1" applyFont="1" applyBorder="1"/>
    <xf numFmtId="9" fontId="18" fillId="0" borderId="0" xfId="0" applyNumberFormat="1" applyFont="1" applyBorder="1" applyProtection="1"/>
    <xf numFmtId="0" fontId="18" fillId="0" borderId="0" xfId="0" quotePrefix="1" applyFont="1" applyBorder="1"/>
    <xf numFmtId="166" fontId="18" fillId="0" borderId="0" xfId="0" applyNumberFormat="1" applyFont="1" applyFill="1" applyBorder="1" applyProtection="1"/>
    <xf numFmtId="0" fontId="18" fillId="0" borderId="0" xfId="0" applyFont="1" applyBorder="1" applyAlignment="1">
      <alignment horizontal="left" indent="1"/>
    </xf>
    <xf numFmtId="0" fontId="18" fillId="0" borderId="0" xfId="0" applyFont="1" applyFill="1" applyBorder="1" applyAlignment="1">
      <alignment horizontal="left" indent="1"/>
    </xf>
    <xf numFmtId="0" fontId="18" fillId="0" borderId="0" xfId="0" applyFont="1" applyBorder="1" applyAlignment="1">
      <alignment horizontal="center"/>
    </xf>
    <xf numFmtId="0" fontId="18" fillId="0" borderId="0" xfId="0" applyFont="1" applyBorder="1" applyAlignment="1" applyProtection="1">
      <alignment horizontal="center"/>
    </xf>
    <xf numFmtId="1" fontId="18" fillId="0" borderId="0" xfId="0" applyNumberFormat="1" applyFont="1"/>
    <xf numFmtId="17" fontId="18" fillId="0" borderId="0" xfId="0" applyNumberFormat="1" applyFont="1" applyBorder="1"/>
    <xf numFmtId="4" fontId="18" fillId="0" borderId="0" xfId="0" applyNumberFormat="1" applyFont="1" applyFill="1" applyBorder="1" applyProtection="1"/>
    <xf numFmtId="4" fontId="18" fillId="0" borderId="0" xfId="0" quotePrefix="1" applyNumberFormat="1" applyFont="1" applyFill="1" applyBorder="1" applyAlignment="1" applyProtection="1">
      <alignment horizontal="right"/>
    </xf>
    <xf numFmtId="3" fontId="18" fillId="0" borderId="0" xfId="0" applyNumberFormat="1" applyFont="1" applyBorder="1"/>
    <xf numFmtId="10" fontId="18" fillId="0" borderId="0" xfId="0" applyNumberFormat="1" applyFont="1" applyFill="1" applyBorder="1"/>
    <xf numFmtId="0" fontId="18" fillId="0" borderId="0" xfId="0" applyFont="1" applyFill="1" applyAlignment="1">
      <alignment horizontal="center"/>
    </xf>
    <xf numFmtId="5" fontId="18" fillId="0" borderId="0" xfId="0" applyNumberFormat="1" applyFont="1" applyFill="1" applyBorder="1"/>
    <xf numFmtId="175" fontId="18" fillId="0" borderId="0" xfId="2" applyNumberFormat="1" applyFont="1"/>
    <xf numFmtId="0" fontId="2" fillId="0" borderId="0" xfId="0" applyFont="1" applyBorder="1" applyAlignment="1"/>
    <xf numFmtId="170" fontId="7" fillId="0" borderId="0" xfId="0" applyNumberFormat="1" applyFont="1"/>
    <xf numFmtId="170" fontId="7" fillId="0" borderId="0" xfId="0" applyNumberFormat="1" applyFont="1" applyAlignment="1">
      <alignment horizontal="right"/>
    </xf>
    <xf numFmtId="0" fontId="20" fillId="0" borderId="0" xfId="0" applyFont="1"/>
    <xf numFmtId="166" fontId="20" fillId="0" borderId="0" xfId="0" applyNumberFormat="1" applyFont="1"/>
    <xf numFmtId="170" fontId="2" fillId="0" borderId="0" xfId="0" applyNumberFormat="1" applyFont="1" applyAlignment="1">
      <alignment horizontal="center"/>
    </xf>
    <xf numFmtId="0" fontId="2" fillId="0" borderId="0" xfId="0" applyFont="1" applyAlignment="1">
      <alignment horizontal="left"/>
    </xf>
    <xf numFmtId="22" fontId="7" fillId="0" borderId="0" xfId="0" applyNumberFormat="1" applyFont="1" applyAlignment="1"/>
    <xf numFmtId="0" fontId="7" fillId="0" borderId="0" xfId="0" applyFont="1" applyAlignment="1"/>
    <xf numFmtId="10" fontId="2" fillId="2" borderId="0" xfId="0" applyNumberFormat="1" applyFont="1" applyFill="1" applyAlignment="1">
      <alignment horizontal="center"/>
    </xf>
    <xf numFmtId="10" fontId="2" fillId="3" borderId="0" xfId="0" applyNumberFormat="1" applyFont="1" applyFill="1" applyAlignment="1">
      <alignment horizontal="center"/>
    </xf>
    <xf numFmtId="10" fontId="2" fillId="0" borderId="0" xfId="0" applyNumberFormat="1" applyFont="1" applyAlignment="1">
      <alignment horizontal="center"/>
    </xf>
    <xf numFmtId="0" fontId="19" fillId="0" borderId="0" xfId="0" applyFont="1" applyFill="1" applyBorder="1" applyAlignment="1">
      <alignment horizontal="center" vertical="center"/>
    </xf>
    <xf numFmtId="0" fontId="2" fillId="0" borderId="0" xfId="0" applyFont="1" applyFill="1" applyBorder="1" applyAlignment="1">
      <alignment horizontal="center"/>
    </xf>
    <xf numFmtId="0" fontId="20" fillId="0" borderId="0" xfId="0" applyFont="1" applyBorder="1" applyAlignment="1">
      <alignment horizontal="center"/>
    </xf>
    <xf numFmtId="0" fontId="20" fillId="0" borderId="0" xfId="0" applyFont="1" applyFill="1" applyBorder="1" applyAlignment="1">
      <alignment horizontal="center"/>
    </xf>
    <xf numFmtId="3" fontId="7" fillId="0" borderId="0" xfId="0" applyNumberFormat="1" applyFont="1" applyFill="1" applyBorder="1" applyAlignment="1" applyProtection="1">
      <alignment horizontal="center"/>
    </xf>
    <xf numFmtId="3" fontId="7" fillId="0" borderId="0" xfId="0" applyNumberFormat="1" applyFont="1" applyFill="1" applyBorder="1" applyAlignment="1">
      <alignment horizontal="center"/>
    </xf>
    <xf numFmtId="3" fontId="7" fillId="0" borderId="0" xfId="0" applyNumberFormat="1" applyFont="1" applyFill="1" applyBorder="1" applyAlignment="1" applyProtection="1">
      <alignment horizontal="center"/>
      <protection locked="0"/>
    </xf>
    <xf numFmtId="3" fontId="7" fillId="2" borderId="0" xfId="0" applyNumberFormat="1" applyFont="1" applyFill="1" applyBorder="1" applyAlignment="1" applyProtection="1">
      <alignment horizontal="center"/>
    </xf>
    <xf numFmtId="3" fontId="2" fillId="0" borderId="0" xfId="0" applyNumberFormat="1" applyFont="1" applyBorder="1" applyAlignment="1" applyProtection="1">
      <alignment horizontal="center" vertical="center"/>
    </xf>
    <xf numFmtId="3" fontId="2" fillId="0" borderId="0" xfId="0" applyNumberFormat="1" applyFont="1" applyAlignment="1" applyProtection="1">
      <alignment horizontal="center"/>
    </xf>
    <xf numFmtId="3" fontId="2" fillId="0" borderId="0" xfId="0" applyNumberFormat="1" applyFont="1" applyAlignment="1">
      <alignment horizontal="center"/>
    </xf>
    <xf numFmtId="176" fontId="2" fillId="0" borderId="0" xfId="0" applyNumberFormat="1" applyFont="1" applyAlignment="1">
      <alignment horizontal="center"/>
    </xf>
    <xf numFmtId="3" fontId="7" fillId="0" borderId="0" xfId="0" applyNumberFormat="1" applyFont="1" applyAlignment="1">
      <alignment horizontal="right"/>
    </xf>
    <xf numFmtId="3" fontId="7" fillId="0" borderId="0" xfId="0" applyNumberFormat="1" applyFont="1" applyFill="1" applyAlignment="1">
      <alignment horizontal="center"/>
    </xf>
    <xf numFmtId="3" fontId="7" fillId="0" borderId="0" xfId="0" applyNumberFormat="1" applyFont="1" applyAlignment="1">
      <alignment horizontal="center"/>
    </xf>
    <xf numFmtId="176" fontId="19" fillId="0" borderId="0" xfId="0" applyNumberFormat="1" applyFont="1"/>
    <xf numFmtId="0" fontId="18" fillId="0" borderId="0" xfId="0" applyFont="1" applyFill="1" applyProtection="1"/>
    <xf numFmtId="177" fontId="18" fillId="0" borderId="0" xfId="0" applyNumberFormat="1" applyFont="1" applyFill="1" applyAlignment="1"/>
    <xf numFmtId="177" fontId="18" fillId="0" borderId="0" xfId="0" applyNumberFormat="1" applyFont="1" applyFill="1" applyAlignment="1">
      <alignment horizontal="right"/>
    </xf>
    <xf numFmtId="0" fontId="2" fillId="0" borderId="0" xfId="0" applyFont="1" applyAlignment="1">
      <alignment horizontal="center" vertical="center"/>
    </xf>
    <xf numFmtId="0" fontId="2" fillId="0" borderId="0" xfId="0" applyFont="1" applyFill="1" applyAlignment="1">
      <alignment horizontal="center" vertical="center"/>
    </xf>
    <xf numFmtId="10" fontId="18" fillId="0" borderId="0" xfId="0" applyNumberFormat="1" applyFont="1" applyAlignment="1">
      <alignment horizontal="center"/>
    </xf>
    <xf numFmtId="166" fontId="18" fillId="0" borderId="0" xfId="0" applyNumberFormat="1" applyFont="1" applyFill="1"/>
    <xf numFmtId="166" fontId="18" fillId="0" borderId="0" xfId="0" applyNumberFormat="1" applyFont="1" applyFill="1" applyBorder="1"/>
    <xf numFmtId="0" fontId="18" fillId="0" borderId="0" xfId="0" applyFont="1" applyFill="1" applyAlignment="1" applyProtection="1">
      <alignment horizontal="right"/>
    </xf>
    <xf numFmtId="0" fontId="18" fillId="0" borderId="2" xfId="0" applyFont="1" applyFill="1" applyBorder="1" applyAlignment="1" applyProtection="1">
      <alignment horizontal="right"/>
    </xf>
    <xf numFmtId="3" fontId="18" fillId="0" borderId="2" xfId="0" applyNumberFormat="1" applyFont="1" applyBorder="1"/>
    <xf numFmtId="166" fontId="2" fillId="0" borderId="0" xfId="0" applyNumberFormat="1" applyFont="1" applyBorder="1"/>
    <xf numFmtId="3" fontId="18" fillId="0" borderId="6" xfId="0" applyNumberFormat="1" applyFont="1" applyFill="1" applyBorder="1"/>
    <xf numFmtId="0" fontId="7" fillId="0" borderId="0" xfId="0" applyFont="1" applyFill="1" applyAlignment="1">
      <alignment horizontal="center"/>
    </xf>
    <xf numFmtId="170" fontId="7" fillId="0" borderId="0" xfId="0" applyNumberFormat="1" applyFont="1" applyFill="1"/>
    <xf numFmtId="0" fontId="7" fillId="0" borderId="0" xfId="0" applyFont="1" applyFill="1" applyAlignment="1"/>
    <xf numFmtId="3" fontId="2" fillId="0" borderId="0" xfId="0" applyNumberFormat="1" applyFont="1" applyFill="1" applyAlignment="1">
      <alignment horizontal="center"/>
    </xf>
    <xf numFmtId="3" fontId="19" fillId="0" borderId="0" xfId="0" applyNumberFormat="1" applyFont="1" applyFill="1"/>
    <xf numFmtId="0" fontId="1" fillId="0" borderId="0" xfId="0" applyFont="1" applyFill="1" applyProtection="1"/>
    <xf numFmtId="165" fontId="18" fillId="0" borderId="0" xfId="0" applyNumberFormat="1" applyFont="1" applyAlignment="1">
      <alignment horizontal="right"/>
    </xf>
    <xf numFmtId="164" fontId="18" fillId="0" borderId="0" xfId="0" quotePrefix="1" applyNumberFormat="1" applyFont="1" applyAlignment="1" applyProtection="1">
      <alignment horizontal="right"/>
    </xf>
    <xf numFmtId="0" fontId="7" fillId="0" borderId="0" xfId="0" applyFont="1" applyFill="1" applyBorder="1" applyAlignment="1" applyProtection="1">
      <alignment horizontal="left" indent="1"/>
    </xf>
    <xf numFmtId="3" fontId="7" fillId="4" borderId="0" xfId="0" applyNumberFormat="1" applyFont="1" applyFill="1" applyBorder="1" applyAlignment="1" applyProtection="1">
      <alignment horizontal="center"/>
    </xf>
    <xf numFmtId="0" fontId="19" fillId="0" borderId="0" xfId="0" applyFont="1" applyBorder="1" applyAlignment="1">
      <alignment horizontal="center" vertical="center"/>
    </xf>
    <xf numFmtId="0" fontId="2" fillId="0" borderId="0" xfId="0" applyFont="1" applyBorder="1" applyAlignment="1">
      <alignment horizontal="center"/>
    </xf>
    <xf numFmtId="0" fontId="18" fillId="0" borderId="0" xfId="0" quotePrefix="1" applyFont="1" applyFill="1" applyBorder="1" applyAlignment="1">
      <alignment horizontal="left" indent="2"/>
    </xf>
    <xf numFmtId="0" fontId="19" fillId="0" borderId="0" xfId="0" applyFont="1" applyBorder="1" applyAlignment="1"/>
    <xf numFmtId="0" fontId="2" fillId="0" borderId="9"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right"/>
    </xf>
    <xf numFmtId="0" fontId="2" fillId="0" borderId="11" xfId="0" applyFont="1" applyBorder="1" applyAlignment="1">
      <alignment horizontal="center"/>
    </xf>
    <xf numFmtId="0" fontId="19" fillId="0" borderId="0" xfId="0" applyFont="1" applyFill="1" applyBorder="1" applyAlignment="1"/>
    <xf numFmtId="0" fontId="2" fillId="0" borderId="12" xfId="0" applyFont="1" applyFill="1" applyBorder="1" applyAlignment="1">
      <alignment horizontal="center"/>
    </xf>
    <xf numFmtId="0" fontId="20" fillId="0" borderId="11" xfId="0" applyFont="1" applyBorder="1" applyAlignment="1">
      <alignment horizontal="center"/>
    </xf>
    <xf numFmtId="0" fontId="20" fillId="0" borderId="12" xfId="0" applyFont="1" applyBorder="1" applyAlignment="1">
      <alignment horizontal="center"/>
    </xf>
    <xf numFmtId="0" fontId="7" fillId="0" borderId="11" xfId="0" applyFont="1" applyFill="1" applyBorder="1" applyAlignment="1">
      <alignment horizontal="center"/>
    </xf>
    <xf numFmtId="3" fontId="7" fillId="0" borderId="12" xfId="0" applyNumberFormat="1" applyFont="1" applyFill="1" applyBorder="1" applyAlignment="1" applyProtection="1">
      <alignment horizontal="center"/>
      <protection locked="0"/>
    </xf>
    <xf numFmtId="0" fontId="7" fillId="0" borderId="11" xfId="0" applyFont="1" applyBorder="1" applyAlignment="1">
      <alignment horizontal="center"/>
    </xf>
    <xf numFmtId="0" fontId="7" fillId="0" borderId="13" xfId="0" applyFont="1" applyBorder="1" applyAlignment="1">
      <alignment vertical="center"/>
    </xf>
    <xf numFmtId="0" fontId="7" fillId="0" borderId="14" xfId="0" applyFont="1" applyBorder="1" applyAlignment="1">
      <alignment vertical="center"/>
    </xf>
    <xf numFmtId="0" fontId="2" fillId="0" borderId="14" xfId="0" applyFont="1" applyBorder="1" applyAlignment="1">
      <alignment horizontal="right" vertical="center"/>
    </xf>
    <xf numFmtId="3" fontId="2" fillId="0" borderId="15" xfId="0" applyNumberFormat="1" applyFont="1" applyBorder="1" applyAlignment="1" applyProtection="1">
      <alignment horizontal="center" vertical="center"/>
    </xf>
    <xf numFmtId="3" fontId="2" fillId="0" borderId="15" xfId="0" applyNumberFormat="1" applyFont="1" applyFill="1" applyBorder="1" applyAlignment="1" applyProtection="1">
      <alignment horizontal="center" vertical="center"/>
    </xf>
    <xf numFmtId="3" fontId="2" fillId="0" borderId="16" xfId="0" applyNumberFormat="1" applyFont="1" applyBorder="1" applyAlignment="1" applyProtection="1">
      <alignment horizontal="center" vertical="center"/>
    </xf>
    <xf numFmtId="0" fontId="2" fillId="0" borderId="17" xfId="0" applyFont="1" applyBorder="1" applyAlignment="1">
      <alignment horizontal="center"/>
    </xf>
    <xf numFmtId="0" fontId="2" fillId="0" borderId="12" xfId="0" applyFont="1" applyBorder="1" applyAlignment="1">
      <alignment horizontal="center"/>
    </xf>
    <xf numFmtId="0" fontId="20" fillId="0" borderId="17" xfId="0" applyFont="1" applyBorder="1" applyAlignment="1">
      <alignment horizontal="center"/>
    </xf>
    <xf numFmtId="3" fontId="7" fillId="0" borderId="17" xfId="0" applyNumberFormat="1" applyFont="1" applyBorder="1" applyAlignment="1" applyProtection="1">
      <alignment horizontal="center"/>
    </xf>
    <xf numFmtId="3" fontId="7" fillId="0" borderId="12" xfId="0" applyNumberFormat="1" applyFont="1" applyFill="1" applyBorder="1" applyAlignment="1">
      <alignment horizontal="center"/>
    </xf>
    <xf numFmtId="3" fontId="7" fillId="3" borderId="12" xfId="0" applyNumberFormat="1" applyFont="1" applyFill="1" applyBorder="1" applyAlignment="1" applyProtection="1">
      <alignment horizontal="center"/>
    </xf>
    <xf numFmtId="3" fontId="2" fillId="0" borderId="18" xfId="0" applyNumberFormat="1" applyFont="1" applyBorder="1" applyAlignment="1" applyProtection="1">
      <alignment horizontal="center" vertical="center"/>
    </xf>
    <xf numFmtId="0" fontId="2" fillId="0" borderId="0" xfId="0" applyFont="1" applyFill="1" applyAlignment="1">
      <alignment horizontal="right" vertical="center"/>
    </xf>
    <xf numFmtId="0" fontId="7" fillId="0" borderId="0" xfId="0" applyFont="1" applyFill="1" applyAlignment="1" applyProtection="1">
      <alignment horizontal="left"/>
    </xf>
    <xf numFmtId="0" fontId="23" fillId="0" borderId="0" xfId="0" applyFont="1" applyFill="1" applyBorder="1" applyAlignment="1" applyProtection="1">
      <alignment horizontal="right"/>
    </xf>
    <xf numFmtId="0" fontId="23" fillId="0" borderId="0" xfId="0" applyFont="1" applyFill="1" applyBorder="1" applyAlignment="1">
      <alignment horizontal="right"/>
    </xf>
    <xf numFmtId="9" fontId="18" fillId="0" borderId="0" xfId="4" applyFont="1" applyFill="1"/>
    <xf numFmtId="175" fontId="18" fillId="0" borderId="0" xfId="2" applyNumberFormat="1" applyFont="1" applyFill="1" applyBorder="1"/>
    <xf numFmtId="175" fontId="7" fillId="0" borderId="0" xfId="2" applyNumberFormat="1" applyFont="1" applyFill="1" applyBorder="1" applyProtection="1"/>
    <xf numFmtId="43" fontId="18" fillId="0" borderId="0" xfId="0" applyNumberFormat="1" applyFont="1"/>
    <xf numFmtId="4" fontId="18" fillId="0" borderId="0" xfId="0" applyNumberFormat="1" applyFont="1" applyFill="1" applyBorder="1"/>
    <xf numFmtId="175" fontId="18" fillId="0" borderId="0" xfId="2" applyNumberFormat="1" applyFont="1" applyBorder="1"/>
    <xf numFmtId="43" fontId="18" fillId="0" borderId="0" xfId="2" applyFont="1" applyBorder="1"/>
    <xf numFmtId="37" fontId="18" fillId="0" borderId="20" xfId="0" applyNumberFormat="1" applyFont="1" applyFill="1" applyBorder="1" applyProtection="1"/>
    <xf numFmtId="179" fontId="7" fillId="0" borderId="0" xfId="0" applyNumberFormat="1" applyFont="1" applyFill="1" applyBorder="1" applyProtection="1"/>
    <xf numFmtId="0" fontId="23" fillId="0" borderId="0" xfId="0" applyFont="1" applyFill="1" applyBorder="1"/>
    <xf numFmtId="0" fontId="23" fillId="0" borderId="0" xfId="0" applyFont="1" applyFill="1" applyBorder="1" applyAlignment="1">
      <alignment horizontal="left"/>
    </xf>
    <xf numFmtId="37" fontId="24" fillId="0" borderId="0" xfId="0" applyNumberFormat="1" applyFont="1" applyFill="1" applyBorder="1" applyProtection="1"/>
    <xf numFmtId="172" fontId="24" fillId="0" borderId="0" xfId="0" applyNumberFormat="1" applyFont="1" applyFill="1" applyBorder="1" applyProtection="1"/>
    <xf numFmtId="3" fontId="23" fillId="0" borderId="0" xfId="0" applyNumberFormat="1" applyFont="1" applyFill="1" applyBorder="1" applyProtection="1"/>
    <xf numFmtId="169" fontId="23" fillId="0" borderId="0" xfId="0" applyNumberFormat="1" applyFont="1" applyFill="1" applyBorder="1" applyProtection="1"/>
    <xf numFmtId="169" fontId="24" fillId="0" borderId="0" xfId="0" applyNumberFormat="1" applyFont="1" applyFill="1" applyBorder="1" applyProtection="1"/>
    <xf numFmtId="3" fontId="23" fillId="0" borderId="0" xfId="0" applyNumberFormat="1" applyFont="1" applyFill="1" applyBorder="1"/>
    <xf numFmtId="39" fontId="23" fillId="0" borderId="0" xfId="0" applyNumberFormat="1" applyFont="1" applyFill="1" applyBorder="1" applyProtection="1"/>
    <xf numFmtId="1" fontId="23" fillId="0" borderId="0" xfId="0" applyNumberFormat="1" applyFont="1" applyFill="1" applyBorder="1" applyProtection="1"/>
    <xf numFmtId="0" fontId="23" fillId="0" borderId="0" xfId="0" applyFont="1" applyBorder="1"/>
    <xf numFmtId="0" fontId="2" fillId="0" borderId="0" xfId="0" applyFont="1" applyAlignment="1">
      <alignment horizontal="right" vertical="center"/>
    </xf>
    <xf numFmtId="178" fontId="2" fillId="0" borderId="0" xfId="0" applyNumberFormat="1" applyFont="1" applyAlignment="1">
      <alignment horizontal="center" vertical="center"/>
    </xf>
    <xf numFmtId="180" fontId="2" fillId="0" borderId="0" xfId="0" applyNumberFormat="1" applyFont="1" applyFill="1" applyAlignment="1">
      <alignment horizontal="center" vertical="center"/>
    </xf>
    <xf numFmtId="0" fontId="2" fillId="0" borderId="0" xfId="0" applyFont="1" applyFill="1" applyAlignment="1">
      <alignment horizontal="center"/>
    </xf>
    <xf numFmtId="10" fontId="18" fillId="0" borderId="0" xfId="5" applyNumberFormat="1" applyFont="1" applyFill="1" applyAlignment="1">
      <alignment horizontal="center"/>
    </xf>
    <xf numFmtId="10" fontId="18" fillId="0" borderId="0" xfId="0" applyNumberFormat="1" applyFont="1" applyFill="1" applyAlignment="1">
      <alignment horizontal="right" indent="3"/>
    </xf>
    <xf numFmtId="10" fontId="18" fillId="0" borderId="0" xfId="0" applyNumberFormat="1" applyFont="1" applyFill="1" applyBorder="1" applyAlignment="1">
      <alignment horizontal="right" indent="3"/>
    </xf>
    <xf numFmtId="0" fontId="18" fillId="0" borderId="0" xfId="0" applyFont="1" applyFill="1" applyAlignment="1">
      <alignment vertical="center"/>
    </xf>
    <xf numFmtId="0" fontId="18" fillId="0" borderId="0" xfId="0" applyFont="1" applyFill="1" applyBorder="1" applyAlignment="1" applyProtection="1">
      <alignment horizontal="center"/>
    </xf>
    <xf numFmtId="0" fontId="17" fillId="0" borderId="0" xfId="0" applyFont="1" applyFill="1"/>
    <xf numFmtId="0" fontId="7" fillId="0" borderId="0" xfId="0" quotePrefix="1" applyFont="1" applyFill="1" applyBorder="1" applyAlignment="1">
      <alignment horizontal="left"/>
    </xf>
    <xf numFmtId="43" fontId="18" fillId="0" borderId="0" xfId="2" applyFont="1" applyFill="1"/>
    <xf numFmtId="0" fontId="18" fillId="0" borderId="2" xfId="0" applyFont="1" applyFill="1" applyBorder="1" applyAlignment="1">
      <alignment horizontal="right"/>
    </xf>
    <xf numFmtId="0" fontId="18" fillId="0" borderId="2" xfId="0" applyFont="1" applyFill="1" applyBorder="1"/>
    <xf numFmtId="175" fontId="18" fillId="0" borderId="0" xfId="0" applyNumberFormat="1" applyFont="1" applyFill="1"/>
    <xf numFmtId="5" fontId="7" fillId="0" borderId="0" xfId="0" applyNumberFormat="1" applyFont="1" applyFill="1" applyBorder="1"/>
    <xf numFmtId="0" fontId="7" fillId="0" borderId="0" xfId="1" applyFont="1" applyFill="1"/>
    <xf numFmtId="0" fontId="2" fillId="0" borderId="0" xfId="0" applyFont="1" applyFill="1"/>
    <xf numFmtId="0" fontId="21" fillId="0" borderId="0" xfId="0" applyFont="1" applyFill="1"/>
    <xf numFmtId="10" fontId="2" fillId="0" borderId="8" xfId="5" applyNumberFormat="1" applyFont="1" applyFill="1" applyBorder="1" applyAlignment="1">
      <alignment horizontal="right" vertical="center" indent="2"/>
    </xf>
    <xf numFmtId="10" fontId="2" fillId="0" borderId="0" xfId="5" applyNumberFormat="1" applyFont="1" applyFill="1" applyBorder="1" applyAlignment="1">
      <alignment horizontal="right" vertical="center" indent="2"/>
    </xf>
    <xf numFmtId="10" fontId="0" fillId="0" borderId="0" xfId="0" applyNumberFormat="1" applyFont="1" applyFill="1" applyBorder="1" applyAlignment="1">
      <alignment horizontal="center"/>
    </xf>
    <xf numFmtId="10" fontId="7" fillId="0" borderId="0" xfId="0" applyNumberFormat="1" applyFont="1" applyFill="1" applyBorder="1" applyAlignment="1">
      <alignment horizontal="center"/>
    </xf>
    <xf numFmtId="10" fontId="2" fillId="0" borderId="8" xfId="4" applyNumberFormat="1" applyFont="1" applyFill="1" applyBorder="1" applyAlignment="1">
      <alignment horizontal="right" vertical="center" indent="2"/>
    </xf>
    <xf numFmtId="0" fontId="2" fillId="0" borderId="0" xfId="0" applyFont="1" applyFill="1" applyAlignment="1">
      <alignment vertical="center"/>
    </xf>
    <xf numFmtId="0" fontId="0" fillId="0" borderId="0" xfId="0" applyFont="1" applyFill="1" applyAlignment="1">
      <alignment vertical="center"/>
    </xf>
    <xf numFmtId="178" fontId="2" fillId="0" borderId="0" xfId="0" applyNumberFormat="1" applyFont="1" applyFill="1" applyAlignment="1">
      <alignment horizontal="center" vertical="center"/>
    </xf>
    <xf numFmtId="0" fontId="18" fillId="0" borderId="21" xfId="0" applyFont="1" applyBorder="1" applyProtection="1"/>
    <xf numFmtId="0" fontId="18" fillId="0" borderId="21" xfId="0" applyFont="1" applyBorder="1" applyAlignment="1" applyProtection="1">
      <alignment horizontal="right"/>
    </xf>
    <xf numFmtId="37" fontId="18" fillId="0" borderId="5" xfId="0" applyNumberFormat="1" applyFont="1" applyFill="1" applyBorder="1" applyProtection="1"/>
    <xf numFmtId="5" fontId="7" fillId="0" borderId="3" xfId="0" applyNumberFormat="1" applyFont="1" applyFill="1" applyBorder="1"/>
    <xf numFmtId="172" fontId="0" fillId="0" borderId="0" xfId="0" applyNumberFormat="1" applyFill="1" applyProtection="1"/>
    <xf numFmtId="0" fontId="7" fillId="0" borderId="21" xfId="0" applyFont="1" applyFill="1" applyBorder="1" applyAlignment="1">
      <alignment horizontal="center" wrapText="1"/>
    </xf>
    <xf numFmtId="0" fontId="7" fillId="0" borderId="21" xfId="0" applyFont="1" applyFill="1" applyBorder="1" applyAlignment="1">
      <alignment horizontal="center"/>
    </xf>
    <xf numFmtId="0" fontId="7" fillId="0" borderId="0" xfId="0" applyFont="1" applyFill="1" applyBorder="1" applyAlignment="1">
      <alignment horizontal="center" wrapText="1"/>
    </xf>
    <xf numFmtId="2" fontId="7" fillId="0" borderId="0" xfId="0" applyNumberFormat="1" applyFont="1" applyFill="1" applyBorder="1" applyAlignment="1">
      <alignment horizontal="center"/>
    </xf>
    <xf numFmtId="2" fontId="7" fillId="0" borderId="0" xfId="0" applyNumberFormat="1" applyFont="1" applyFill="1" applyAlignment="1">
      <alignment horizontal="center"/>
    </xf>
    <xf numFmtId="181" fontId="25" fillId="0" borderId="0" xfId="6" applyNumberFormat="1" applyFont="1" applyFill="1"/>
    <xf numFmtId="0" fontId="18" fillId="0" borderId="0" xfId="0" applyFont="1" applyFill="1" applyBorder="1" applyAlignment="1">
      <alignment horizontal="center"/>
    </xf>
    <xf numFmtId="172" fontId="18" fillId="0" borderId="0" xfId="0" applyNumberFormat="1" applyFont="1" applyFill="1" applyProtection="1"/>
    <xf numFmtId="0" fontId="18" fillId="0" borderId="0" xfId="0" applyFont="1" applyFill="1" applyAlignment="1">
      <alignment horizontal="center" wrapText="1"/>
    </xf>
    <xf numFmtId="0" fontId="18" fillId="0" borderId="20" xfId="0" applyFont="1" applyFill="1" applyBorder="1" applyAlignment="1">
      <alignment horizontal="center"/>
    </xf>
    <xf numFmtId="167" fontId="18" fillId="0" borderId="0" xfId="0" applyNumberFormat="1" applyFont="1" applyFill="1" applyBorder="1" applyProtection="1"/>
    <xf numFmtId="0" fontId="19" fillId="0" borderId="17" xfId="0" applyFont="1" applyBorder="1" applyAlignment="1">
      <alignment horizontal="center" vertical="center"/>
    </xf>
    <xf numFmtId="0" fontId="19" fillId="0" borderId="12" xfId="0" applyFont="1" applyBorder="1" applyAlignment="1">
      <alignment horizontal="center" vertical="center"/>
    </xf>
    <xf numFmtId="0" fontId="2" fillId="0" borderId="17" xfId="0" applyFont="1" applyFill="1" applyBorder="1" applyAlignment="1">
      <alignment horizontal="center"/>
    </xf>
    <xf numFmtId="0" fontId="20" fillId="0" borderId="17" xfId="0" applyFont="1" applyFill="1" applyBorder="1" applyAlignment="1">
      <alignment horizontal="center"/>
    </xf>
    <xf numFmtId="3" fontId="7" fillId="0" borderId="17" xfId="0" applyNumberFormat="1" applyFont="1" applyFill="1" applyBorder="1" applyAlignment="1" applyProtection="1">
      <alignment horizontal="center"/>
      <protection locked="0"/>
    </xf>
    <xf numFmtId="3" fontId="7" fillId="0" borderId="17" xfId="0" applyNumberFormat="1" applyFont="1" applyFill="1" applyBorder="1" applyAlignment="1">
      <alignment horizontal="center"/>
    </xf>
    <xf numFmtId="0" fontId="5" fillId="0" borderId="0" xfId="0" applyFont="1" applyFill="1"/>
    <xf numFmtId="10" fontId="23" fillId="0" borderId="0" xfId="0" applyNumberFormat="1" applyFont="1" applyFill="1" applyBorder="1"/>
    <xf numFmtId="0" fontId="23" fillId="0" borderId="0" xfId="0" quotePrefix="1" applyFont="1" applyFill="1" applyBorder="1"/>
    <xf numFmtId="0" fontId="24" fillId="0" borderId="0" xfId="0" quotePrefix="1" applyFont="1" applyFill="1" applyBorder="1"/>
    <xf numFmtId="0" fontId="23" fillId="0" borderId="0" xfId="0" applyFont="1" applyFill="1" applyBorder="1" applyAlignment="1">
      <alignment horizontal="center"/>
    </xf>
    <xf numFmtId="5" fontId="23" fillId="0" borderId="0" xfId="0" applyNumberFormat="1" applyFont="1" applyFill="1" applyBorder="1"/>
    <xf numFmtId="0" fontId="5" fillId="0" borderId="0" xfId="0" applyFont="1" applyFill="1" applyProtection="1"/>
    <xf numFmtId="0" fontId="5" fillId="0" borderId="0" xfId="0" quotePrefix="1" applyFont="1" applyFill="1"/>
    <xf numFmtId="0" fontId="4" fillId="0" borderId="0" xfId="0" applyFont="1" applyFill="1" applyProtection="1"/>
    <xf numFmtId="164" fontId="18" fillId="0" borderId="0" xfId="0" applyNumberFormat="1" applyFont="1" applyFill="1" applyAlignment="1" applyProtection="1">
      <alignment horizontal="right"/>
    </xf>
    <xf numFmtId="165" fontId="18" fillId="0" borderId="0" xfId="0" applyNumberFormat="1" applyFont="1" applyFill="1" applyAlignment="1">
      <alignment horizontal="right"/>
    </xf>
    <xf numFmtId="17" fontId="18" fillId="0" borderId="0" xfId="0" quotePrefix="1" applyNumberFormat="1" applyFont="1" applyFill="1"/>
    <xf numFmtId="1" fontId="7" fillId="0" borderId="0" xfId="0" applyNumberFormat="1" applyFont="1" applyFill="1" applyBorder="1"/>
    <xf numFmtId="1" fontId="18" fillId="0" borderId="0" xfId="0" applyNumberFormat="1" applyFont="1" applyFill="1"/>
    <xf numFmtId="0" fontId="26" fillId="0" borderId="0" xfId="0" applyFont="1" applyFill="1"/>
    <xf numFmtId="0" fontId="19" fillId="0" borderId="0" xfId="0" applyFont="1" applyFill="1"/>
    <xf numFmtId="0" fontId="2" fillId="0" borderId="0" xfId="0" applyFont="1" applyFill="1" applyBorder="1" applyAlignment="1" applyProtection="1">
      <alignment horizontal="center"/>
    </xf>
    <xf numFmtId="0" fontId="2" fillId="0" borderId="0" xfId="0" applyFont="1" applyFill="1" applyBorder="1" applyAlignment="1" applyProtection="1">
      <alignment horizontal="left" indent="1"/>
    </xf>
    <xf numFmtId="0" fontId="7" fillId="0" borderId="0" xfId="0" applyFont="1" applyFill="1" applyBorder="1" applyAlignment="1" applyProtection="1">
      <alignment horizontal="right"/>
    </xf>
    <xf numFmtId="5" fontId="21" fillId="0" borderId="0" xfId="0" applyNumberFormat="1" applyFont="1" applyFill="1" applyBorder="1" applyAlignment="1" applyProtection="1">
      <alignment horizontal="right"/>
    </xf>
    <xf numFmtId="14" fontId="18" fillId="0" borderId="0" xfId="0" applyNumberFormat="1" applyFont="1" applyFill="1"/>
    <xf numFmtId="0" fontId="18" fillId="0" borderId="0" xfId="0" applyFont="1" applyFill="1" applyBorder="1" applyAlignment="1" applyProtection="1">
      <alignment horizontal="center"/>
    </xf>
    <xf numFmtId="0" fontId="18" fillId="0" borderId="0" xfId="0" applyFont="1" applyFill="1" applyAlignment="1" applyProtection="1">
      <alignment horizontal="center"/>
    </xf>
    <xf numFmtId="0" fontId="18" fillId="0" borderId="2" xfId="0" applyFont="1" applyFill="1" applyBorder="1" applyAlignment="1" applyProtection="1">
      <alignment horizontal="center"/>
    </xf>
    <xf numFmtId="0" fontId="7" fillId="0" borderId="0" xfId="0" applyFont="1" applyFill="1" applyAlignment="1">
      <alignment horizontal="right"/>
    </xf>
    <xf numFmtId="170" fontId="18" fillId="0" borderId="0" xfId="0" applyNumberFormat="1" applyFont="1" applyFill="1" applyAlignment="1">
      <alignment horizontal="right"/>
    </xf>
    <xf numFmtId="164" fontId="18" fillId="0" borderId="0" xfId="0" applyNumberFormat="1" applyFont="1" applyFill="1" applyBorder="1" applyProtection="1"/>
    <xf numFmtId="171" fontId="23" fillId="0" borderId="0" xfId="0" applyNumberFormat="1" applyFont="1" applyFill="1" applyBorder="1" applyProtection="1"/>
    <xf numFmtId="0" fontId="18" fillId="0" borderId="0" xfId="0" applyFont="1" applyFill="1" applyBorder="1" applyAlignment="1" applyProtection="1">
      <alignment horizontal="centerContinuous"/>
    </xf>
    <xf numFmtId="3" fontId="18" fillId="0" borderId="0" xfId="0" applyNumberFormat="1" applyFont="1" applyFill="1" applyBorder="1" applyAlignment="1">
      <alignment horizontal="right"/>
    </xf>
    <xf numFmtId="9" fontId="18" fillId="0" borderId="0" xfId="4" applyFont="1" applyFill="1" applyBorder="1" applyAlignment="1">
      <alignment horizontal="right"/>
    </xf>
    <xf numFmtId="9" fontId="18" fillId="0" borderId="0" xfId="4" applyFont="1" applyFill="1" applyBorder="1" applyAlignment="1"/>
    <xf numFmtId="0" fontId="18" fillId="0" borderId="20" xfId="0" applyFont="1" applyBorder="1"/>
    <xf numFmtId="0" fontId="18" fillId="0" borderId="20" xfId="0" applyFont="1" applyBorder="1" applyAlignment="1">
      <alignment horizontal="right"/>
    </xf>
    <xf numFmtId="3" fontId="18" fillId="0" borderId="20" xfId="0" applyNumberFormat="1" applyFont="1" applyFill="1" applyBorder="1"/>
    <xf numFmtId="0" fontId="18" fillId="0" borderId="20" xfId="0" applyFont="1" applyBorder="1" applyAlignment="1">
      <alignment horizontal="left" indent="1"/>
    </xf>
    <xf numFmtId="3" fontId="18" fillId="0" borderId="0" xfId="0" applyNumberFormat="1" applyFont="1" applyFill="1" applyAlignment="1">
      <alignment horizontal="center"/>
    </xf>
    <xf numFmtId="3" fontId="18" fillId="0" borderId="0" xfId="0" applyNumberFormat="1" applyFont="1" applyAlignment="1">
      <alignment horizontal="center"/>
    </xf>
    <xf numFmtId="3" fontId="0" fillId="0" borderId="0" xfId="0" applyNumberFormat="1"/>
    <xf numFmtId="0" fontId="21" fillId="0" borderId="0" xfId="0" applyFont="1"/>
    <xf numFmtId="0" fontId="18" fillId="0" borderId="9" xfId="0" applyFont="1" applyFill="1" applyBorder="1" applyProtection="1"/>
    <xf numFmtId="0" fontId="18" fillId="0" borderId="7" xfId="0" applyFont="1" applyFill="1" applyBorder="1" applyProtection="1"/>
    <xf numFmtId="0" fontId="18" fillId="0" borderId="10" xfId="0" applyFont="1" applyFill="1" applyBorder="1" applyAlignment="1" applyProtection="1">
      <alignment horizontal="right"/>
    </xf>
    <xf numFmtId="0" fontId="18" fillId="0" borderId="17" xfId="0" applyFont="1" applyFill="1" applyBorder="1"/>
    <xf numFmtId="164" fontId="18" fillId="0" borderId="12" xfId="0" applyNumberFormat="1" applyFont="1" applyFill="1" applyBorder="1" applyAlignment="1" applyProtection="1">
      <alignment horizontal="right"/>
    </xf>
    <xf numFmtId="0" fontId="1" fillId="0" borderId="17" xfId="0" applyFont="1" applyFill="1" applyBorder="1" applyProtection="1"/>
    <xf numFmtId="0" fontId="17" fillId="0" borderId="12" xfId="0" applyFont="1" applyBorder="1" applyAlignment="1">
      <alignment horizontal="right"/>
    </xf>
    <xf numFmtId="0" fontId="18" fillId="0" borderId="17" xfId="0" applyFont="1" applyFill="1" applyBorder="1" applyProtection="1"/>
    <xf numFmtId="0" fontId="18" fillId="0" borderId="12" xfId="0" applyFont="1" applyFill="1" applyBorder="1" applyAlignment="1" applyProtection="1">
      <alignment horizontal="center"/>
    </xf>
    <xf numFmtId="0" fontId="7" fillId="0" borderId="12" xfId="0" applyFont="1" applyFill="1" applyBorder="1" applyAlignment="1" applyProtection="1">
      <alignment horizontal="center"/>
    </xf>
    <xf numFmtId="0" fontId="18" fillId="0" borderId="12" xfId="0" applyFont="1" applyFill="1" applyBorder="1" applyProtection="1"/>
    <xf numFmtId="0" fontId="18" fillId="0" borderId="12" xfId="0" applyFont="1" applyFill="1" applyBorder="1"/>
    <xf numFmtId="0" fontId="2" fillId="0" borderId="12" xfId="0" applyFont="1" applyFill="1" applyBorder="1" applyAlignment="1" applyProtection="1">
      <alignment horizontal="center"/>
    </xf>
    <xf numFmtId="20" fontId="2" fillId="0" borderId="12" xfId="0" applyNumberFormat="1" applyFont="1" applyFill="1" applyBorder="1" applyAlignment="1">
      <alignment horizontal="center"/>
    </xf>
    <xf numFmtId="0" fontId="0" fillId="0" borderId="17" xfId="0" applyFill="1" applyBorder="1" applyProtection="1"/>
    <xf numFmtId="0" fontId="2" fillId="0" borderId="17" xfId="0" applyFont="1" applyFill="1" applyBorder="1" applyProtection="1"/>
    <xf numFmtId="0" fontId="3" fillId="0" borderId="12" xfId="0" applyFont="1" applyFill="1" applyBorder="1" applyAlignment="1" applyProtection="1">
      <alignment horizontal="left"/>
    </xf>
    <xf numFmtId="0" fontId="2" fillId="0" borderId="13" xfId="0" applyFont="1" applyFill="1" applyBorder="1" applyProtection="1"/>
    <xf numFmtId="0" fontId="0" fillId="0" borderId="20" xfId="0" applyFill="1" applyBorder="1" applyProtection="1"/>
    <xf numFmtId="166" fontId="2" fillId="0" borderId="20" xfId="0" applyNumberFormat="1" applyFont="1" applyFill="1" applyBorder="1" applyAlignment="1" applyProtection="1">
      <alignment horizontal="center"/>
    </xf>
    <xf numFmtId="0" fontId="3" fillId="0" borderId="19" xfId="0" applyFont="1" applyFill="1" applyBorder="1" applyAlignment="1" applyProtection="1">
      <alignment horizontal="center"/>
    </xf>
    <xf numFmtId="165" fontId="18" fillId="0" borderId="12" xfId="0" applyNumberFormat="1" applyFont="1" applyFill="1" applyBorder="1"/>
    <xf numFmtId="182" fontId="27" fillId="0" borderId="0" xfId="0" applyNumberFormat="1" applyFont="1" applyFill="1" applyAlignment="1">
      <alignment horizontal="center"/>
    </xf>
    <xf numFmtId="183" fontId="27" fillId="0" borderId="0" xfId="0" applyNumberFormat="1" applyFont="1" applyFill="1" applyAlignment="1">
      <alignment horizontal="center"/>
    </xf>
    <xf numFmtId="182" fontId="27" fillId="0" borderId="0" xfId="0" applyNumberFormat="1" applyFont="1" applyFill="1" applyBorder="1" applyAlignment="1">
      <alignment horizontal="center"/>
    </xf>
    <xf numFmtId="10" fontId="18" fillId="0" borderId="0" xfId="5" applyNumberFormat="1" applyFont="1" applyFill="1" applyBorder="1" applyAlignment="1">
      <alignment horizontal="center"/>
    </xf>
    <xf numFmtId="183" fontId="27" fillId="0" borderId="0" xfId="0" applyNumberFormat="1" applyFont="1" applyFill="1" applyBorder="1" applyAlignment="1">
      <alignment horizontal="center"/>
    </xf>
    <xf numFmtId="0" fontId="0" fillId="0" borderId="0" xfId="0" applyFill="1" applyBorder="1"/>
    <xf numFmtId="0" fontId="18" fillId="0" borderId="0" xfId="0" applyFont="1" applyFill="1" applyBorder="1" applyAlignment="1">
      <alignment vertical="center"/>
    </xf>
    <xf numFmtId="0" fontId="2" fillId="0" borderId="0" xfId="0" applyFont="1" applyFill="1" applyBorder="1" applyAlignment="1">
      <alignment horizontal="right" vertical="center"/>
    </xf>
    <xf numFmtId="0" fontId="18" fillId="0" borderId="0" xfId="0" applyFont="1" applyFill="1" applyBorder="1" applyAlignment="1">
      <alignment horizontal="center"/>
    </xf>
    <xf numFmtId="0" fontId="18" fillId="0" borderId="0" xfId="0" applyFont="1" applyFill="1" applyBorder="1" applyAlignment="1" applyProtection="1">
      <alignment horizontal="center"/>
    </xf>
    <xf numFmtId="0" fontId="18" fillId="0" borderId="0" xfId="0" applyFont="1" applyAlignment="1">
      <alignment horizontal="left" wrapText="1" indent="1"/>
    </xf>
    <xf numFmtId="0" fontId="18" fillId="0" borderId="0" xfId="0" applyFont="1" applyFill="1" applyAlignment="1">
      <alignment horizontal="left" wrapText="1" indent="1"/>
    </xf>
    <xf numFmtId="0" fontId="15" fillId="0" borderId="0" xfId="0" applyFont="1" applyBorder="1" applyAlignment="1">
      <alignment horizont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13" fillId="0" borderId="0" xfId="0" applyFont="1" applyAlignment="1">
      <alignment horizontal="center" vertical="center" wrapText="1"/>
    </xf>
    <xf numFmtId="0" fontId="7" fillId="0" borderId="0" xfId="0" applyFont="1" applyAlignment="1">
      <alignment horizontal="left" wrapText="1"/>
    </xf>
    <xf numFmtId="0" fontId="7" fillId="0" borderId="0" xfId="0" applyFont="1" applyFill="1" applyAlignment="1">
      <alignment horizontal="left" wrapText="1"/>
    </xf>
  </cellXfs>
  <cellStyles count="8">
    <cellStyle name="Comma" xfId="2" builtinId="3"/>
    <cellStyle name="Currency 2" xfId="6" xr:uid="{00000000-0005-0000-0000-000001000000}"/>
    <cellStyle name="Normal" xfId="0" builtinId="0"/>
    <cellStyle name="Normal 2" xfId="1" xr:uid="{00000000-0005-0000-0000-000003000000}"/>
    <cellStyle name="Normal 23" xfId="7" xr:uid="{00000000-0005-0000-0000-000004000000}"/>
    <cellStyle name="Normal 3" xfId="3" xr:uid="{00000000-0005-0000-0000-000005000000}"/>
    <cellStyle name="Percent" xfId="4" builtinId="5"/>
    <cellStyle name="Percent 2" xfId="5" xr:uid="{00000000-0005-0000-0000-00000700000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38"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workbookViewId="0">
      <selection activeCell="H16" sqref="H16"/>
    </sheetView>
  </sheetViews>
  <sheetFormatPr defaultRowHeight="14.25" x14ac:dyDescent="0.2"/>
  <cols>
    <col min="1" max="1" width="34.7109375" style="90" customWidth="1"/>
    <col min="2" max="2" width="11.85546875" style="90" customWidth="1"/>
    <col min="3" max="3" width="21.42578125" style="90" customWidth="1"/>
    <col min="4" max="4" width="42.85546875" style="90" customWidth="1"/>
    <col min="5" max="6" width="9.140625" style="90"/>
    <col min="7" max="7" width="11.140625" style="90" customWidth="1"/>
    <col min="8" max="8" width="10.140625" style="90" customWidth="1"/>
    <col min="9" max="16384" width="9.140625" style="90"/>
  </cols>
  <sheetData>
    <row r="1" spans="1:8" ht="15" x14ac:dyDescent="0.2">
      <c r="A1" s="408" t="s">
        <v>0</v>
      </c>
      <c r="B1" s="409"/>
      <c r="C1" s="409"/>
      <c r="D1" s="410" t="s">
        <v>1</v>
      </c>
      <c r="G1" s="328"/>
      <c r="H1" s="328"/>
    </row>
    <row r="2" spans="1:8" ht="15" x14ac:dyDescent="0.2">
      <c r="A2" s="411" t="s">
        <v>2</v>
      </c>
      <c r="B2" s="96"/>
      <c r="C2" s="97"/>
      <c r="D2" s="412">
        <v>37256</v>
      </c>
    </row>
    <row r="3" spans="1:8" ht="15" x14ac:dyDescent="0.2">
      <c r="A3" s="413" t="s">
        <v>3</v>
      </c>
      <c r="B3" s="97"/>
      <c r="C3" s="98" t="s">
        <v>963</v>
      </c>
      <c r="D3" s="429">
        <v>43419</v>
      </c>
    </row>
    <row r="4" spans="1:8" ht="15" x14ac:dyDescent="0.2">
      <c r="A4" s="411"/>
      <c r="B4" s="98"/>
      <c r="C4" s="96"/>
      <c r="D4" s="414" t="s">
        <v>983</v>
      </c>
    </row>
    <row r="5" spans="1:8" ht="15" x14ac:dyDescent="0.2">
      <c r="A5" s="411"/>
      <c r="B5" s="98"/>
      <c r="C5" s="96"/>
      <c r="D5" s="414"/>
    </row>
    <row r="6" spans="1:8" ht="15" x14ac:dyDescent="0.2">
      <c r="A6" s="415" t="s">
        <v>4</v>
      </c>
      <c r="B6" s="97"/>
      <c r="C6" s="97" t="s">
        <v>2</v>
      </c>
      <c r="D6" s="416" t="s">
        <v>5</v>
      </c>
    </row>
    <row r="7" spans="1:8" ht="15" x14ac:dyDescent="0.2">
      <c r="A7" s="415"/>
      <c r="B7" s="97"/>
      <c r="C7" s="97" t="s">
        <v>6</v>
      </c>
      <c r="D7" s="417" t="s">
        <v>881</v>
      </c>
    </row>
    <row r="8" spans="1:8" ht="15" x14ac:dyDescent="0.2">
      <c r="A8" s="415"/>
      <c r="B8" s="96"/>
      <c r="C8" s="96" t="s">
        <v>7</v>
      </c>
      <c r="D8" s="417" t="s">
        <v>882</v>
      </c>
    </row>
    <row r="9" spans="1:8" ht="15" x14ac:dyDescent="0.2">
      <c r="A9" s="415"/>
      <c r="B9" s="97"/>
      <c r="C9" s="97"/>
      <c r="D9" s="418"/>
    </row>
    <row r="10" spans="1:8" ht="15" x14ac:dyDescent="0.2">
      <c r="A10" s="415" t="s">
        <v>8</v>
      </c>
      <c r="B10" s="97"/>
      <c r="C10" s="97" t="s">
        <v>9</v>
      </c>
      <c r="D10" s="418"/>
    </row>
    <row r="11" spans="1:8" ht="15" x14ac:dyDescent="0.2">
      <c r="A11" s="415"/>
      <c r="B11" s="97"/>
      <c r="C11" s="97"/>
      <c r="D11" s="418"/>
    </row>
    <row r="12" spans="1:8" ht="15" x14ac:dyDescent="0.2">
      <c r="A12" s="415" t="s">
        <v>10</v>
      </c>
      <c r="B12" s="97"/>
      <c r="C12" s="97" t="s">
        <v>11</v>
      </c>
      <c r="D12" s="418"/>
    </row>
    <row r="13" spans="1:8" ht="15" x14ac:dyDescent="0.2">
      <c r="A13" s="415"/>
      <c r="B13" s="100"/>
      <c r="C13" s="100"/>
      <c r="D13" s="418"/>
    </row>
    <row r="14" spans="1:8" ht="15" x14ac:dyDescent="0.2">
      <c r="A14" s="415" t="s">
        <v>12</v>
      </c>
      <c r="B14" s="97"/>
      <c r="C14" s="97" t="s">
        <v>13</v>
      </c>
      <c r="D14" s="418"/>
    </row>
    <row r="15" spans="1:8" ht="15" x14ac:dyDescent="0.2">
      <c r="A15" s="415"/>
      <c r="B15" s="97"/>
      <c r="C15" s="97"/>
      <c r="D15" s="418"/>
    </row>
    <row r="16" spans="1:8" ht="15" x14ac:dyDescent="0.2">
      <c r="A16" s="415" t="s">
        <v>14</v>
      </c>
      <c r="B16" s="97"/>
      <c r="C16" s="97" t="s">
        <v>15</v>
      </c>
      <c r="D16" s="418"/>
    </row>
    <row r="17" spans="1:4" ht="15" x14ac:dyDescent="0.2">
      <c r="A17" s="415"/>
      <c r="B17" s="97"/>
      <c r="C17" s="97"/>
      <c r="D17" s="419"/>
    </row>
    <row r="18" spans="1:4" ht="15" x14ac:dyDescent="0.2">
      <c r="A18" s="415" t="s">
        <v>16</v>
      </c>
      <c r="B18" s="97"/>
      <c r="C18" s="97" t="s">
        <v>17</v>
      </c>
      <c r="D18" s="419"/>
    </row>
    <row r="19" spans="1:4" ht="15.75" x14ac:dyDescent="0.25">
      <c r="A19" s="415"/>
      <c r="B19" s="97"/>
      <c r="C19" s="97"/>
      <c r="D19" s="420"/>
    </row>
    <row r="20" spans="1:4" ht="15.75" x14ac:dyDescent="0.25">
      <c r="A20" s="415" t="s">
        <v>18</v>
      </c>
      <c r="B20" s="101"/>
      <c r="C20" s="97" t="s">
        <v>794</v>
      </c>
      <c r="D20" s="420"/>
    </row>
    <row r="21" spans="1:4" ht="15.75" x14ac:dyDescent="0.25">
      <c r="A21" s="415" t="s">
        <v>19</v>
      </c>
      <c r="B21" s="97"/>
      <c r="C21" s="97" t="s">
        <v>964</v>
      </c>
      <c r="D21" s="421"/>
    </row>
    <row r="22" spans="1:4" ht="15.75" x14ac:dyDescent="0.25">
      <c r="A22" s="422"/>
      <c r="B22" s="1"/>
      <c r="C22" s="1"/>
      <c r="D22" s="276" t="s">
        <v>918</v>
      </c>
    </row>
    <row r="23" spans="1:4" ht="15.75" x14ac:dyDescent="0.25">
      <c r="A23" s="423"/>
      <c r="B23" s="3"/>
      <c r="C23" s="3"/>
      <c r="D23" s="276" t="s">
        <v>917</v>
      </c>
    </row>
    <row r="24" spans="1:4" ht="15.75" x14ac:dyDescent="0.25">
      <c r="A24" s="423" t="s">
        <v>20</v>
      </c>
      <c r="B24" s="91"/>
      <c r="C24" s="3">
        <f>'19...CostSum'!$D$37</f>
        <v>463761784.86412102</v>
      </c>
      <c r="D24" s="276" t="s">
        <v>916</v>
      </c>
    </row>
    <row r="25" spans="1:4" ht="15.75" x14ac:dyDescent="0.25">
      <c r="A25" s="423"/>
      <c r="B25" s="1"/>
      <c r="C25" s="3"/>
      <c r="D25" s="424"/>
    </row>
    <row r="26" spans="1:4" ht="15.75" x14ac:dyDescent="0.25">
      <c r="A26" s="425" t="s">
        <v>21</v>
      </c>
      <c r="B26" s="426"/>
      <c r="C26" s="427">
        <f>'19...CostSum'!$D$39</f>
        <v>310270350.39385974</v>
      </c>
      <c r="D26" s="428" t="s">
        <v>22</v>
      </c>
    </row>
  </sheetData>
  <printOptions horizontalCentered="1"/>
  <pageMargins left="0.57999999999999996" right="0.52" top="1" bottom="1" header="0.5" footer="0.5"/>
  <pageSetup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6"/>
  <sheetViews>
    <sheetView zoomScaleNormal="100" workbookViewId="0">
      <selection activeCell="C83" sqref="C83"/>
    </sheetView>
  </sheetViews>
  <sheetFormatPr defaultColWidth="12.5703125" defaultRowHeight="14.25" x14ac:dyDescent="0.2"/>
  <cols>
    <col min="1" max="1" width="5.140625" style="90" customWidth="1"/>
    <col min="2" max="2" width="4.5703125" style="90" customWidth="1"/>
    <col min="3" max="3" width="23.140625" style="90" customWidth="1"/>
    <col min="4" max="5" width="12.5703125" style="90"/>
    <col min="6" max="6" width="28" style="90" customWidth="1"/>
    <col min="7" max="7" width="18.85546875" style="90" customWidth="1"/>
    <col min="8" max="16384" width="12.5703125" style="90"/>
  </cols>
  <sheetData>
    <row r="1" spans="1:15" ht="15" x14ac:dyDescent="0.2">
      <c r="A1" s="92" t="str">
        <f>General!A1</f>
        <v>FINANCIAL ASSURANCE AMOUNT CALCULATION</v>
      </c>
      <c r="B1" s="92"/>
      <c r="C1" s="92"/>
      <c r="D1" s="92"/>
      <c r="E1" s="92"/>
      <c r="F1" s="92"/>
      <c r="G1" s="93" t="str">
        <f>General!D1</f>
        <v>Questa Mine Site</v>
      </c>
      <c r="H1" s="328"/>
      <c r="I1" s="99"/>
      <c r="J1" s="99"/>
      <c r="K1" s="328"/>
      <c r="L1" s="328"/>
      <c r="M1" s="328"/>
      <c r="N1" s="328"/>
      <c r="O1" s="328"/>
    </row>
    <row r="2" spans="1:15" x14ac:dyDescent="0.2">
      <c r="A2" s="92" t="str">
        <f>General!A2</f>
        <v>Chevron Mining Inc.</v>
      </c>
      <c r="B2" s="92"/>
      <c r="C2" s="92"/>
      <c r="D2" s="92"/>
      <c r="E2" s="92"/>
      <c r="F2" s="92"/>
      <c r="G2" s="93" t="s">
        <v>23</v>
      </c>
      <c r="I2" s="328"/>
      <c r="J2" s="328"/>
      <c r="K2" s="328"/>
      <c r="L2" s="328"/>
      <c r="M2" s="328"/>
      <c r="N2" s="328"/>
      <c r="O2" s="328"/>
    </row>
    <row r="3" spans="1:15" ht="15" x14ac:dyDescent="0.2">
      <c r="A3" s="4" t="s">
        <v>24</v>
      </c>
      <c r="B3" s="4"/>
      <c r="C3" s="92"/>
      <c r="D3" s="92"/>
      <c r="E3" s="92"/>
      <c r="F3" s="92"/>
      <c r="G3" s="94">
        <f>General!$D$2</f>
        <v>37256</v>
      </c>
      <c r="I3" s="328"/>
      <c r="J3" s="328"/>
      <c r="K3" s="328"/>
      <c r="L3" s="328"/>
      <c r="M3" s="328"/>
      <c r="N3" s="328"/>
      <c r="O3" s="328"/>
    </row>
    <row r="4" spans="1:15" x14ac:dyDescent="0.2">
      <c r="A4" s="92"/>
      <c r="B4" s="92"/>
      <c r="C4" s="92"/>
      <c r="D4" s="92"/>
      <c r="E4" s="92"/>
      <c r="F4" s="93" t="str">
        <f>General!C3</f>
        <v>Updated by Kiewit/AECOM</v>
      </c>
      <c r="G4" s="95">
        <f>General!D3</f>
        <v>43419</v>
      </c>
      <c r="I4" s="328"/>
      <c r="J4" s="328"/>
      <c r="K4" s="328"/>
      <c r="L4" s="328"/>
      <c r="M4" s="328"/>
      <c r="N4" s="328"/>
      <c r="O4" s="328"/>
    </row>
    <row r="5" spans="1:15" x14ac:dyDescent="0.2">
      <c r="A5" s="90" t="s">
        <v>25</v>
      </c>
      <c r="I5" s="328"/>
      <c r="J5" s="328"/>
      <c r="K5" s="328"/>
      <c r="L5" s="328"/>
      <c r="M5" s="328"/>
      <c r="N5" s="328"/>
      <c r="O5" s="328"/>
    </row>
    <row r="6" spans="1:15" x14ac:dyDescent="0.2">
      <c r="I6" s="328"/>
      <c r="J6" s="328"/>
      <c r="K6" s="328"/>
      <c r="L6" s="328"/>
      <c r="M6" s="328"/>
      <c r="N6" s="328"/>
      <c r="O6" s="328"/>
    </row>
    <row r="7" spans="1:15" ht="12.95" customHeight="1" x14ac:dyDescent="0.25">
      <c r="A7" s="376" t="s">
        <v>231</v>
      </c>
      <c r="B7" s="376"/>
      <c r="C7" s="368"/>
      <c r="D7" s="368"/>
      <c r="E7" s="368"/>
      <c r="F7" s="368"/>
      <c r="G7" s="328"/>
      <c r="I7" s="328"/>
      <c r="J7" s="328"/>
      <c r="K7" s="328"/>
      <c r="L7" s="328"/>
      <c r="M7" s="328"/>
      <c r="N7" s="328"/>
      <c r="O7" s="328"/>
    </row>
    <row r="8" spans="1:15" ht="12.95" customHeight="1" x14ac:dyDescent="0.2">
      <c r="A8" s="368"/>
      <c r="B8" s="368" t="s">
        <v>940</v>
      </c>
      <c r="C8" s="328"/>
      <c r="D8" s="368"/>
      <c r="E8" s="368"/>
      <c r="F8" s="368"/>
      <c r="G8" s="328"/>
      <c r="I8" s="328"/>
      <c r="J8" s="328"/>
      <c r="K8" s="328"/>
      <c r="L8" s="328"/>
      <c r="M8" s="328"/>
      <c r="N8" s="328"/>
      <c r="O8" s="328"/>
    </row>
    <row r="9" spans="1:15" ht="12.95" customHeight="1" x14ac:dyDescent="0.2">
      <c r="A9" s="368"/>
      <c r="B9" s="368" t="s">
        <v>941</v>
      </c>
      <c r="C9" s="328"/>
      <c r="D9" s="368"/>
      <c r="E9" s="368"/>
      <c r="F9" s="368"/>
      <c r="G9" s="328"/>
      <c r="I9" s="328"/>
      <c r="J9" s="328"/>
      <c r="K9" s="328"/>
      <c r="L9" s="328"/>
      <c r="M9" s="328"/>
      <c r="N9" s="328"/>
      <c r="O9" s="328"/>
    </row>
    <row r="10" spans="1:15" ht="12.95" customHeight="1" x14ac:dyDescent="0.2">
      <c r="A10" s="6"/>
      <c r="B10" s="6"/>
      <c r="C10" s="6"/>
      <c r="D10" s="6"/>
      <c r="E10" s="6"/>
      <c r="F10" s="6"/>
    </row>
    <row r="11" spans="1:15" ht="12.95" customHeight="1" x14ac:dyDescent="0.25">
      <c r="A11" s="5" t="s">
        <v>26</v>
      </c>
      <c r="B11" s="5"/>
      <c r="C11" s="6"/>
      <c r="D11" s="6"/>
      <c r="E11" s="6"/>
      <c r="F11" s="6"/>
    </row>
    <row r="12" spans="1:15" ht="12.95" customHeight="1" x14ac:dyDescent="0.25">
      <c r="A12" s="5"/>
      <c r="B12" s="7" t="s">
        <v>27</v>
      </c>
      <c r="C12" s="6"/>
      <c r="D12" s="368" t="s">
        <v>971</v>
      </c>
      <c r="E12" s="368"/>
      <c r="F12" s="368"/>
      <c r="G12" s="328"/>
    </row>
    <row r="13" spans="1:15" ht="12.95" customHeight="1" x14ac:dyDescent="0.25">
      <c r="A13" s="5"/>
      <c r="C13" s="6"/>
      <c r="D13" s="368"/>
      <c r="E13" s="368" t="s">
        <v>866</v>
      </c>
      <c r="F13" s="368"/>
      <c r="G13" s="328"/>
    </row>
    <row r="14" spans="1:15" ht="12.95" customHeight="1" x14ac:dyDescent="0.25">
      <c r="A14" s="5"/>
      <c r="C14" s="6"/>
      <c r="D14" s="6"/>
      <c r="E14" s="6"/>
      <c r="F14" s="6"/>
    </row>
    <row r="15" spans="1:15" ht="12.95" customHeight="1" x14ac:dyDescent="0.25">
      <c r="A15" s="5"/>
      <c r="B15" s="374" t="s">
        <v>30</v>
      </c>
      <c r="C15" s="368"/>
      <c r="D15" s="368" t="s">
        <v>867</v>
      </c>
      <c r="E15" s="368"/>
      <c r="F15" s="368"/>
      <c r="G15" s="328"/>
      <c r="H15" s="328"/>
      <c r="I15" s="328"/>
      <c r="J15" s="328"/>
      <c r="K15" s="328"/>
      <c r="L15" s="328"/>
      <c r="M15" s="328"/>
      <c r="N15" s="328"/>
      <c r="O15" s="328"/>
    </row>
    <row r="16" spans="1:15" ht="12.95" customHeight="1" x14ac:dyDescent="0.25">
      <c r="A16" s="5"/>
      <c r="B16" s="374"/>
      <c r="C16" s="368"/>
      <c r="D16" s="368"/>
      <c r="E16" s="368" t="s">
        <v>866</v>
      </c>
      <c r="F16" s="368"/>
      <c r="G16" s="328"/>
    </row>
    <row r="17" spans="1:7" ht="12.95" customHeight="1" x14ac:dyDescent="0.25">
      <c r="A17" s="5"/>
      <c r="B17" s="374"/>
      <c r="C17" s="368"/>
      <c r="D17" s="368"/>
      <c r="E17" s="368"/>
      <c r="F17" s="368"/>
      <c r="G17" s="328"/>
    </row>
    <row r="18" spans="1:7" ht="12.95" customHeight="1" x14ac:dyDescent="0.25">
      <c r="A18" s="5"/>
      <c r="B18" s="374" t="s">
        <v>31</v>
      </c>
      <c r="C18" s="368"/>
      <c r="D18" s="368" t="s">
        <v>32</v>
      </c>
      <c r="E18" s="368"/>
      <c r="F18" s="368"/>
      <c r="G18" s="328"/>
    </row>
    <row r="19" spans="1:7" ht="12.95" customHeight="1" x14ac:dyDescent="0.25">
      <c r="A19" s="5"/>
      <c r="B19" s="374"/>
      <c r="C19" s="368"/>
      <c r="D19" s="368"/>
      <c r="E19" s="368" t="s">
        <v>33</v>
      </c>
      <c r="F19" s="368"/>
      <c r="G19" s="328"/>
    </row>
    <row r="20" spans="1:7" ht="12.95" customHeight="1" x14ac:dyDescent="0.25">
      <c r="A20" s="5"/>
      <c r="B20" s="374"/>
      <c r="C20" s="368"/>
      <c r="D20" s="368"/>
      <c r="E20" s="368"/>
      <c r="F20" s="368"/>
      <c r="G20" s="328"/>
    </row>
    <row r="21" spans="1:7" ht="12.95" customHeight="1" x14ac:dyDescent="0.25">
      <c r="A21" s="5"/>
      <c r="B21" s="374" t="s">
        <v>34</v>
      </c>
      <c r="C21" s="368"/>
      <c r="D21" s="368" t="s">
        <v>32</v>
      </c>
      <c r="E21" s="368"/>
      <c r="F21" s="368"/>
      <c r="G21" s="328"/>
    </row>
    <row r="22" spans="1:7" ht="12.95" customHeight="1" x14ac:dyDescent="0.25">
      <c r="A22" s="5"/>
      <c r="B22" s="374"/>
      <c r="C22" s="368"/>
      <c r="D22" s="368"/>
      <c r="E22" s="368" t="s">
        <v>33</v>
      </c>
      <c r="F22" s="368"/>
      <c r="G22" s="328"/>
    </row>
    <row r="23" spans="1:7" ht="12.95" customHeight="1" x14ac:dyDescent="0.25">
      <c r="A23" s="5"/>
      <c r="B23" s="374"/>
      <c r="C23" s="368"/>
      <c r="D23" s="368"/>
      <c r="E23" s="368"/>
      <c r="F23" s="368"/>
      <c r="G23" s="328"/>
    </row>
    <row r="24" spans="1:7" ht="12.95" customHeight="1" x14ac:dyDescent="0.2">
      <c r="A24" s="6"/>
      <c r="B24" s="374" t="s">
        <v>35</v>
      </c>
      <c r="C24" s="368"/>
      <c r="D24" s="368" t="s">
        <v>32</v>
      </c>
      <c r="E24" s="368"/>
      <c r="F24" s="368"/>
      <c r="G24" s="328"/>
    </row>
    <row r="25" spans="1:7" ht="12.95" customHeight="1" x14ac:dyDescent="0.2">
      <c r="A25" s="6"/>
      <c r="B25" s="374"/>
      <c r="C25" s="368"/>
      <c r="D25" s="368"/>
      <c r="E25" s="368" t="s">
        <v>36</v>
      </c>
      <c r="F25" s="368"/>
      <c r="G25" s="328"/>
    </row>
    <row r="26" spans="1:7" ht="12.95" customHeight="1" x14ac:dyDescent="0.2">
      <c r="A26" s="6"/>
      <c r="B26" s="374"/>
      <c r="C26" s="368"/>
      <c r="D26" s="368"/>
      <c r="E26" s="368"/>
      <c r="F26" s="368"/>
      <c r="G26" s="328"/>
    </row>
    <row r="27" spans="1:7" ht="12.95" customHeight="1" x14ac:dyDescent="0.2">
      <c r="A27" s="6"/>
      <c r="B27" s="374" t="s">
        <v>37</v>
      </c>
      <c r="C27" s="368"/>
      <c r="D27" s="368" t="s">
        <v>32</v>
      </c>
      <c r="E27" s="368"/>
      <c r="F27" s="368"/>
      <c r="G27" s="328"/>
    </row>
    <row r="28" spans="1:7" ht="12.95" customHeight="1" x14ac:dyDescent="0.2">
      <c r="A28" s="6"/>
      <c r="B28" s="374"/>
      <c r="C28" s="368"/>
      <c r="D28" s="368"/>
      <c r="E28" s="368" t="s">
        <v>38</v>
      </c>
      <c r="F28" s="368"/>
      <c r="G28" s="328"/>
    </row>
    <row r="29" spans="1:7" ht="12.95" customHeight="1" x14ac:dyDescent="0.2">
      <c r="A29" s="6"/>
      <c r="B29" s="374"/>
      <c r="C29" s="368"/>
      <c r="D29" s="368"/>
      <c r="E29" s="368"/>
      <c r="F29" s="368"/>
      <c r="G29" s="328"/>
    </row>
    <row r="30" spans="1:7" ht="12.95" customHeight="1" x14ac:dyDescent="0.2">
      <c r="A30" s="6"/>
      <c r="B30" s="374" t="s">
        <v>39</v>
      </c>
      <c r="C30" s="368"/>
      <c r="D30" s="368" t="s">
        <v>32</v>
      </c>
      <c r="E30" s="368"/>
      <c r="F30" s="368"/>
      <c r="G30" s="328"/>
    </row>
    <row r="31" spans="1:7" ht="12.95" customHeight="1" x14ac:dyDescent="0.2">
      <c r="A31" s="6"/>
      <c r="B31" s="374"/>
      <c r="C31" s="368"/>
      <c r="D31" s="368"/>
      <c r="E31" s="368" t="s">
        <v>38</v>
      </c>
      <c r="F31" s="368"/>
      <c r="G31" s="328"/>
    </row>
    <row r="32" spans="1:7" ht="12.95" customHeight="1" x14ac:dyDescent="0.2">
      <c r="A32" s="6"/>
      <c r="B32" s="374"/>
      <c r="C32" s="368"/>
      <c r="D32" s="368"/>
      <c r="E32" s="368"/>
      <c r="F32" s="368"/>
      <c r="G32" s="328"/>
    </row>
    <row r="33" spans="1:7" ht="12.95" customHeight="1" x14ac:dyDescent="0.2">
      <c r="A33" s="6"/>
      <c r="B33" s="374" t="s">
        <v>40</v>
      </c>
      <c r="C33" s="368"/>
      <c r="D33" s="368" t="s">
        <v>28</v>
      </c>
      <c r="E33" s="368"/>
      <c r="F33" s="368"/>
      <c r="G33" s="328"/>
    </row>
    <row r="34" spans="1:7" ht="12.95" customHeight="1" x14ac:dyDescent="0.2">
      <c r="A34" s="6"/>
      <c r="B34" s="374"/>
      <c r="C34" s="368"/>
      <c r="D34" s="368"/>
      <c r="E34" s="368" t="s">
        <v>29</v>
      </c>
      <c r="F34" s="368"/>
      <c r="G34" s="328"/>
    </row>
    <row r="35" spans="1:7" ht="12.95" customHeight="1" x14ac:dyDescent="0.2">
      <c r="A35" s="6"/>
      <c r="B35" s="374"/>
      <c r="C35" s="368"/>
      <c r="D35" s="368"/>
      <c r="E35" s="368"/>
      <c r="F35" s="368"/>
      <c r="G35" s="328"/>
    </row>
    <row r="36" spans="1:7" ht="12.95" customHeight="1" x14ac:dyDescent="0.2">
      <c r="A36" s="6"/>
      <c r="B36" s="374" t="s">
        <v>41</v>
      </c>
      <c r="C36" s="368"/>
      <c r="D36" s="368" t="s">
        <v>933</v>
      </c>
      <c r="E36" s="368"/>
      <c r="F36" s="368"/>
      <c r="G36" s="328"/>
    </row>
    <row r="37" spans="1:7" ht="12.95" customHeight="1" x14ac:dyDescent="0.2">
      <c r="A37" s="6"/>
      <c r="B37" s="374"/>
      <c r="C37" s="375" t="s">
        <v>42</v>
      </c>
      <c r="D37" s="368"/>
      <c r="E37" s="368" t="s">
        <v>43</v>
      </c>
      <c r="F37" s="368"/>
      <c r="G37" s="328"/>
    </row>
    <row r="38" spans="1:7" ht="12.95" customHeight="1" x14ac:dyDescent="0.2">
      <c r="A38" s="6"/>
      <c r="B38" s="374"/>
      <c r="C38" s="375"/>
      <c r="D38" s="368"/>
      <c r="E38" s="368" t="s">
        <v>44</v>
      </c>
      <c r="F38" s="368"/>
      <c r="G38" s="328"/>
    </row>
    <row r="39" spans="1:7" ht="12.95" customHeight="1" x14ac:dyDescent="0.2">
      <c r="A39" s="6"/>
      <c r="B39" s="374"/>
      <c r="C39" s="375"/>
      <c r="D39" s="368"/>
      <c r="E39" s="368"/>
      <c r="F39" s="368"/>
      <c r="G39" s="328"/>
    </row>
    <row r="40" spans="1:7" ht="12.95" customHeight="1" x14ac:dyDescent="0.2">
      <c r="A40" s="6"/>
      <c r="B40" s="374" t="s">
        <v>45</v>
      </c>
      <c r="C40" s="375"/>
      <c r="D40" s="368" t="s">
        <v>46</v>
      </c>
      <c r="E40" s="368"/>
      <c r="F40" s="368"/>
      <c r="G40" s="328"/>
    </row>
    <row r="41" spans="1:7" ht="12.95" customHeight="1" x14ac:dyDescent="0.2">
      <c r="A41" s="6"/>
      <c r="B41" s="374"/>
      <c r="C41" s="375"/>
      <c r="D41" s="368"/>
      <c r="E41" s="368" t="s">
        <v>47</v>
      </c>
      <c r="F41" s="368"/>
      <c r="G41" s="328"/>
    </row>
    <row r="42" spans="1:7" ht="12.95" customHeight="1" x14ac:dyDescent="0.2">
      <c r="A42" s="6"/>
      <c r="B42" s="374"/>
      <c r="C42" s="375"/>
      <c r="D42" s="368"/>
      <c r="E42" s="368"/>
      <c r="F42" s="368"/>
      <c r="G42" s="328"/>
    </row>
    <row r="43" spans="1:7" ht="12.95" customHeight="1" x14ac:dyDescent="0.25">
      <c r="A43" s="5" t="s">
        <v>48</v>
      </c>
      <c r="B43" s="376"/>
      <c r="C43" s="368"/>
      <c r="D43" s="368"/>
      <c r="E43" s="368"/>
      <c r="F43" s="368"/>
      <c r="G43" s="328"/>
    </row>
    <row r="44" spans="1:7" ht="12.95" customHeight="1" x14ac:dyDescent="0.2">
      <c r="A44" s="6"/>
      <c r="B44" s="374" t="s">
        <v>31</v>
      </c>
      <c r="C44" s="368"/>
      <c r="D44" s="368" t="s">
        <v>49</v>
      </c>
      <c r="E44" s="368"/>
      <c r="F44" s="368"/>
      <c r="G44" s="328"/>
    </row>
    <row r="45" spans="1:7" ht="12.95" customHeight="1" x14ac:dyDescent="0.2">
      <c r="A45" s="6"/>
      <c r="B45" s="374"/>
      <c r="C45" s="368"/>
      <c r="D45" s="368" t="s">
        <v>52</v>
      </c>
      <c r="E45" s="368"/>
      <c r="F45" s="368"/>
      <c r="G45" s="328"/>
    </row>
    <row r="46" spans="1:7" ht="12.95" customHeight="1" x14ac:dyDescent="0.2">
      <c r="A46" s="6"/>
      <c r="B46" s="374"/>
      <c r="C46" s="368"/>
      <c r="D46" s="368" t="s">
        <v>51</v>
      </c>
      <c r="E46" s="368"/>
      <c r="F46" s="368"/>
      <c r="G46" s="328"/>
    </row>
    <row r="47" spans="1:7" ht="12.95" customHeight="1" x14ac:dyDescent="0.2">
      <c r="A47" s="6"/>
      <c r="B47" s="374"/>
      <c r="C47" s="368"/>
      <c r="D47" s="368"/>
      <c r="E47" s="368"/>
      <c r="F47" s="368"/>
      <c r="G47" s="328"/>
    </row>
    <row r="48" spans="1:7" ht="12.95" customHeight="1" x14ac:dyDescent="0.2">
      <c r="A48" s="6"/>
      <c r="B48" s="374" t="s">
        <v>34</v>
      </c>
      <c r="C48" s="368"/>
      <c r="D48" s="368" t="s">
        <v>49</v>
      </c>
      <c r="E48" s="368"/>
      <c r="F48" s="368"/>
      <c r="G48" s="328"/>
    </row>
    <row r="49" spans="1:7" ht="12.95" customHeight="1" x14ac:dyDescent="0.2">
      <c r="A49" s="6"/>
      <c r="B49" s="374"/>
      <c r="C49" s="368"/>
      <c r="D49" s="368" t="s">
        <v>53</v>
      </c>
      <c r="E49" s="368"/>
      <c r="F49" s="368"/>
      <c r="G49" s="328"/>
    </row>
    <row r="50" spans="1:7" ht="12.95" customHeight="1" x14ac:dyDescent="0.2">
      <c r="A50" s="6"/>
      <c r="B50" s="374"/>
      <c r="C50" s="368"/>
      <c r="D50" s="368" t="s">
        <v>50</v>
      </c>
      <c r="E50" s="368"/>
      <c r="F50" s="368"/>
      <c r="G50" s="328"/>
    </row>
    <row r="51" spans="1:7" ht="12.95" customHeight="1" x14ac:dyDescent="0.2">
      <c r="A51" s="6"/>
      <c r="B51" s="374"/>
      <c r="C51" s="368"/>
      <c r="D51" s="368" t="s">
        <v>51</v>
      </c>
      <c r="E51" s="368"/>
      <c r="F51" s="368"/>
      <c r="G51" s="328"/>
    </row>
    <row r="52" spans="1:7" ht="12.95" customHeight="1" x14ac:dyDescent="0.2">
      <c r="A52" s="6"/>
      <c r="B52" s="374"/>
      <c r="C52" s="368"/>
      <c r="D52" s="368"/>
      <c r="E52" s="368"/>
      <c r="F52" s="368"/>
      <c r="G52" s="328"/>
    </row>
    <row r="53" spans="1:7" ht="12.95" customHeight="1" x14ac:dyDescent="0.2">
      <c r="A53" s="6"/>
      <c r="B53" s="374" t="s">
        <v>54</v>
      </c>
      <c r="C53" s="368"/>
      <c r="D53" s="368" t="s">
        <v>49</v>
      </c>
      <c r="E53" s="368"/>
      <c r="F53" s="368"/>
      <c r="G53" s="328"/>
    </row>
    <row r="54" spans="1:7" ht="12.95" customHeight="1" x14ac:dyDescent="0.2">
      <c r="A54" s="6"/>
      <c r="B54" s="374" t="s">
        <v>55</v>
      </c>
      <c r="C54" s="368"/>
      <c r="D54" s="368" t="s">
        <v>53</v>
      </c>
      <c r="E54" s="368"/>
      <c r="F54" s="368"/>
      <c r="G54" s="328"/>
    </row>
    <row r="55" spans="1:7" ht="12.95" customHeight="1" x14ac:dyDescent="0.2">
      <c r="A55" s="6"/>
      <c r="B55" s="374" t="s">
        <v>56</v>
      </c>
      <c r="C55" s="368"/>
      <c r="D55" s="368" t="s">
        <v>57</v>
      </c>
      <c r="E55" s="368"/>
      <c r="F55" s="368"/>
      <c r="G55" s="328"/>
    </row>
    <row r="56" spans="1:7" ht="12.95" customHeight="1" x14ac:dyDescent="0.2">
      <c r="A56" s="6"/>
      <c r="B56" s="374"/>
      <c r="C56" s="368"/>
      <c r="D56" s="368" t="s">
        <v>51</v>
      </c>
      <c r="E56" s="368"/>
      <c r="F56" s="368"/>
      <c r="G56" s="328"/>
    </row>
    <row r="57" spans="1:7" ht="12.95" customHeight="1" x14ac:dyDescent="0.2">
      <c r="A57" s="6"/>
      <c r="B57" s="374"/>
      <c r="C57" s="368"/>
      <c r="D57" s="368"/>
      <c r="E57" s="368"/>
      <c r="F57" s="368"/>
      <c r="G57" s="328"/>
    </row>
    <row r="58" spans="1:7" ht="12.95" customHeight="1" x14ac:dyDescent="0.2">
      <c r="A58" s="6"/>
      <c r="B58" s="374" t="s">
        <v>58</v>
      </c>
      <c r="C58" s="368"/>
      <c r="D58" s="368" t="s">
        <v>59</v>
      </c>
      <c r="E58" s="368"/>
      <c r="F58" s="368"/>
      <c r="G58" s="328"/>
    </row>
    <row r="59" spans="1:7" ht="12.95" customHeight="1" x14ac:dyDescent="0.2">
      <c r="A59" s="6"/>
      <c r="B59" s="374"/>
      <c r="C59" s="368"/>
      <c r="D59" s="368" t="s">
        <v>60</v>
      </c>
      <c r="E59" s="368"/>
      <c r="F59" s="368"/>
      <c r="G59" s="328"/>
    </row>
    <row r="60" spans="1:7" ht="12.95" customHeight="1" x14ac:dyDescent="0.2">
      <c r="A60" s="6"/>
      <c r="B60" s="374"/>
      <c r="C60" s="368"/>
      <c r="D60" s="368" t="s">
        <v>51</v>
      </c>
      <c r="E60" s="368"/>
      <c r="F60" s="368"/>
      <c r="G60" s="328"/>
    </row>
    <row r="61" spans="1:7" ht="12.95" customHeight="1" x14ac:dyDescent="0.2">
      <c r="A61" s="6"/>
      <c r="B61" s="374"/>
      <c r="C61" s="368"/>
      <c r="D61" s="368"/>
      <c r="E61" s="368"/>
      <c r="F61" s="368"/>
      <c r="G61" s="328"/>
    </row>
    <row r="62" spans="1:7" ht="12.95" customHeight="1" x14ac:dyDescent="0.2">
      <c r="A62" s="6"/>
      <c r="B62" s="374" t="s">
        <v>45</v>
      </c>
      <c r="C62" s="368"/>
      <c r="D62" s="368" t="s">
        <v>61</v>
      </c>
      <c r="E62" s="368"/>
      <c r="F62" s="368"/>
      <c r="G62" s="328"/>
    </row>
    <row r="63" spans="1:7" ht="12.95" customHeight="1" x14ac:dyDescent="0.2">
      <c r="A63" s="6"/>
      <c r="B63" s="374"/>
      <c r="C63" s="368"/>
      <c r="D63" s="368" t="s">
        <v>51</v>
      </c>
      <c r="E63" s="368"/>
      <c r="F63" s="368"/>
      <c r="G63" s="328"/>
    </row>
    <row r="64" spans="1:7" ht="12.95" customHeight="1" x14ac:dyDescent="0.2">
      <c r="A64" s="6"/>
      <c r="B64" s="374"/>
      <c r="C64" s="368"/>
      <c r="D64" s="368"/>
      <c r="E64" s="368"/>
      <c r="F64" s="368"/>
      <c r="G64" s="328"/>
    </row>
    <row r="65" spans="1:7" ht="12.95" customHeight="1" x14ac:dyDescent="0.2">
      <c r="A65" s="6"/>
      <c r="B65" s="374" t="s">
        <v>62</v>
      </c>
      <c r="C65" s="368"/>
      <c r="D65" s="368" t="s">
        <v>61</v>
      </c>
      <c r="E65" s="368"/>
      <c r="F65" s="368"/>
      <c r="G65" s="328"/>
    </row>
    <row r="66" spans="1:7" ht="12.95" customHeight="1" x14ac:dyDescent="0.2">
      <c r="A66" s="6"/>
      <c r="B66" s="374"/>
      <c r="C66" s="368"/>
      <c r="D66" s="368" t="s">
        <v>51</v>
      </c>
      <c r="E66" s="368"/>
      <c r="F66" s="368"/>
      <c r="G66" s="328"/>
    </row>
    <row r="67" spans="1:7" ht="12.95" customHeight="1" x14ac:dyDescent="0.2">
      <c r="A67" s="6"/>
      <c r="B67" s="374"/>
      <c r="C67" s="368"/>
      <c r="D67" s="368"/>
      <c r="E67" s="368"/>
      <c r="F67" s="368"/>
      <c r="G67" s="328"/>
    </row>
    <row r="68" spans="1:7" ht="12.95" customHeight="1" x14ac:dyDescent="0.2">
      <c r="A68" s="6"/>
      <c r="B68" s="374" t="s">
        <v>63</v>
      </c>
      <c r="C68" s="368"/>
      <c r="D68" s="368" t="s">
        <v>64</v>
      </c>
      <c r="E68" s="368"/>
      <c r="F68" s="368"/>
      <c r="G68" s="328"/>
    </row>
    <row r="69" spans="1:7" ht="12.95" customHeight="1" x14ac:dyDescent="0.2">
      <c r="A69" s="6"/>
      <c r="B69" s="374"/>
      <c r="C69" s="368"/>
      <c r="D69" s="368" t="s">
        <v>65</v>
      </c>
      <c r="E69" s="368"/>
      <c r="F69" s="368"/>
      <c r="G69" s="328"/>
    </row>
    <row r="70" spans="1:7" ht="12.95" customHeight="1" x14ac:dyDescent="0.2">
      <c r="A70" s="6"/>
      <c r="B70" s="374"/>
      <c r="C70" s="368"/>
      <c r="D70" s="375" t="s">
        <v>934</v>
      </c>
      <c r="E70" s="368"/>
      <c r="F70" s="368"/>
      <c r="G70" s="328"/>
    </row>
    <row r="71" spans="1:7" ht="12.95" customHeight="1" x14ac:dyDescent="0.2">
      <c r="A71" s="6"/>
      <c r="B71" s="374"/>
      <c r="C71" s="368"/>
      <c r="D71" s="375"/>
      <c r="E71" s="368"/>
      <c r="F71" s="368"/>
      <c r="G71" s="328"/>
    </row>
    <row r="72" spans="1:7" ht="12.95" customHeight="1" x14ac:dyDescent="0.2">
      <c r="A72" s="6"/>
      <c r="B72" s="374" t="s">
        <v>66</v>
      </c>
      <c r="C72" s="368"/>
      <c r="D72" s="368" t="s">
        <v>67</v>
      </c>
      <c r="E72" s="368"/>
      <c r="F72" s="368"/>
      <c r="G72" s="328"/>
    </row>
    <row r="73" spans="1:7" ht="12.95" customHeight="1" x14ac:dyDescent="0.2">
      <c r="A73" s="6"/>
      <c r="B73" s="374"/>
      <c r="C73" s="368"/>
      <c r="D73" s="368"/>
      <c r="E73" s="368"/>
      <c r="F73" s="368"/>
      <c r="G73" s="328"/>
    </row>
    <row r="74" spans="1:7" ht="15.75" customHeight="1" x14ac:dyDescent="0.25">
      <c r="A74" s="5" t="s">
        <v>68</v>
      </c>
      <c r="B74" s="376"/>
      <c r="C74" s="368"/>
      <c r="D74" s="328"/>
      <c r="E74" s="328"/>
      <c r="F74" s="328"/>
      <c r="G74" s="328"/>
    </row>
    <row r="75" spans="1:7" ht="15" customHeight="1" x14ac:dyDescent="0.2">
      <c r="A75" s="6"/>
      <c r="B75" s="368" t="s">
        <v>69</v>
      </c>
      <c r="C75" s="328"/>
      <c r="D75" s="328"/>
      <c r="E75" s="328"/>
      <c r="F75" s="328"/>
      <c r="G75" s="328"/>
    </row>
    <row r="76" spans="1:7" ht="15" customHeight="1" x14ac:dyDescent="0.2">
      <c r="A76" s="6"/>
      <c r="B76" s="368" t="s">
        <v>70</v>
      </c>
      <c r="C76" s="328"/>
      <c r="D76" s="328"/>
      <c r="E76" s="328"/>
      <c r="F76" s="328"/>
      <c r="G76" s="328"/>
    </row>
    <row r="77" spans="1:7" ht="15" customHeight="1" x14ac:dyDescent="0.2">
      <c r="A77" s="6"/>
      <c r="B77" s="368" t="s">
        <v>71</v>
      </c>
      <c r="C77" s="328"/>
      <c r="D77" s="328"/>
      <c r="E77" s="328"/>
      <c r="F77" s="328"/>
      <c r="G77" s="328"/>
    </row>
    <row r="78" spans="1:7" ht="15" customHeight="1" x14ac:dyDescent="0.2">
      <c r="A78" s="6"/>
      <c r="B78" s="368" t="s">
        <v>72</v>
      </c>
      <c r="C78" s="328"/>
      <c r="D78" s="328"/>
      <c r="E78" s="328"/>
      <c r="F78" s="328"/>
      <c r="G78" s="328"/>
    </row>
    <row r="79" spans="1:7" ht="15" customHeight="1" x14ac:dyDescent="0.2">
      <c r="A79" s="6"/>
      <c r="B79" s="368" t="s">
        <v>73</v>
      </c>
      <c r="C79" s="328"/>
      <c r="D79" s="328"/>
      <c r="E79" s="328"/>
      <c r="F79" s="328"/>
      <c r="G79" s="328"/>
    </row>
    <row r="80" spans="1:7" ht="15" customHeight="1" x14ac:dyDescent="0.2">
      <c r="A80" s="6"/>
      <c r="B80" s="368" t="s">
        <v>919</v>
      </c>
      <c r="C80" s="368"/>
      <c r="D80" s="328"/>
      <c r="E80" s="328"/>
      <c r="F80" s="328"/>
      <c r="G80" s="328"/>
    </row>
    <row r="81" spans="1:7" x14ac:dyDescent="0.2">
      <c r="A81" s="6"/>
      <c r="B81" s="368" t="s">
        <v>993</v>
      </c>
      <c r="C81" s="328"/>
      <c r="D81" s="328"/>
      <c r="E81" s="328"/>
      <c r="F81" s="328"/>
      <c r="G81" s="328"/>
    </row>
    <row r="82" spans="1:7" x14ac:dyDescent="0.2">
      <c r="A82" s="6"/>
      <c r="B82" s="368"/>
      <c r="C82" s="368"/>
      <c r="D82" s="328"/>
      <c r="E82" s="328"/>
      <c r="F82" s="328"/>
      <c r="G82" s="328"/>
    </row>
    <row r="83" spans="1:7" x14ac:dyDescent="0.2">
      <c r="A83" s="6"/>
      <c r="B83" s="368"/>
      <c r="C83" s="368"/>
      <c r="D83" s="328"/>
      <c r="E83" s="328"/>
      <c r="F83" s="328"/>
      <c r="G83" s="328"/>
    </row>
    <row r="84" spans="1:7" x14ac:dyDescent="0.2">
      <c r="A84" s="6"/>
      <c r="B84" s="6"/>
      <c r="C84" s="6"/>
    </row>
    <row r="85" spans="1:7" x14ac:dyDescent="0.2">
      <c r="A85" s="6"/>
      <c r="B85" s="6"/>
      <c r="C85" s="6"/>
    </row>
    <row r="86" spans="1:7" x14ac:dyDescent="0.2">
      <c r="A86" s="6"/>
      <c r="B86" s="6"/>
    </row>
  </sheetData>
  <pageMargins left="0.47" right="0.34" top="0.72" bottom="0.78" header="0.34" footer="0.38"/>
  <pageSetup scale="88" orientation="portrait"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0"/>
  <sheetViews>
    <sheetView topLeftCell="A4" workbookViewId="0">
      <selection activeCell="B31" sqref="B31"/>
    </sheetView>
  </sheetViews>
  <sheetFormatPr defaultRowHeight="14.25" x14ac:dyDescent="0.2"/>
  <cols>
    <col min="1" max="1" width="14.85546875" style="90" customWidth="1"/>
    <col min="2" max="2" width="34.28515625" style="90" customWidth="1"/>
    <col min="3" max="3" width="11.7109375" style="90" bestFit="1" customWidth="1"/>
    <col min="4" max="7" width="9.140625" style="90"/>
    <col min="8" max="8" width="18.7109375" style="90" bestFit="1" customWidth="1"/>
    <col min="9" max="16384" width="9.140625" style="90"/>
  </cols>
  <sheetData>
    <row r="1" spans="1:8" ht="15" x14ac:dyDescent="0.2">
      <c r="A1" s="102" t="str">
        <f>General!$A$1</f>
        <v>FINANCIAL ASSURANCE AMOUNT CALCULATION</v>
      </c>
      <c r="B1" s="102"/>
      <c r="C1" s="102"/>
      <c r="D1" s="102"/>
      <c r="E1" s="102"/>
      <c r="F1" s="102"/>
      <c r="G1" s="103"/>
      <c r="H1" s="104" t="s">
        <v>1</v>
      </c>
    </row>
    <row r="2" spans="1:8" ht="15" x14ac:dyDescent="0.2">
      <c r="A2" s="102" t="str">
        <f>General!A2</f>
        <v>Chevron Mining Inc.</v>
      </c>
      <c r="B2" s="102"/>
      <c r="C2" s="102"/>
      <c r="D2" s="102"/>
      <c r="E2" s="102"/>
      <c r="F2" s="102"/>
      <c r="G2" s="105"/>
      <c r="H2" s="106" t="s">
        <v>74</v>
      </c>
    </row>
    <row r="3" spans="1:8" ht="15" x14ac:dyDescent="0.2">
      <c r="A3" s="4" t="s">
        <v>75</v>
      </c>
      <c r="B3" s="4"/>
      <c r="C3" s="102"/>
      <c r="D3" s="102"/>
      <c r="E3" s="102"/>
      <c r="F3" s="102"/>
      <c r="G3" s="105"/>
      <c r="H3" s="107">
        <v>37256</v>
      </c>
    </row>
    <row r="4" spans="1:8" ht="15" x14ac:dyDescent="0.2">
      <c r="A4" s="105"/>
      <c r="B4" s="8" t="s">
        <v>632</v>
      </c>
      <c r="C4" s="105"/>
      <c r="D4" s="105"/>
      <c r="E4" s="105"/>
      <c r="F4" s="105"/>
      <c r="G4" s="105"/>
      <c r="H4" s="105"/>
    </row>
    <row r="5" spans="1:8" ht="15" x14ac:dyDescent="0.2">
      <c r="A5" s="105"/>
      <c r="B5" s="105"/>
      <c r="C5" s="105"/>
      <c r="D5" s="105"/>
      <c r="E5" s="105"/>
      <c r="F5" s="105"/>
      <c r="G5" s="105"/>
      <c r="H5" s="105"/>
    </row>
    <row r="6" spans="1:8" ht="15" x14ac:dyDescent="0.2">
      <c r="A6" s="105" t="s">
        <v>76</v>
      </c>
      <c r="B6" s="105"/>
      <c r="C6" s="105"/>
      <c r="D6" s="105"/>
      <c r="E6" s="105"/>
      <c r="F6" s="105"/>
      <c r="G6" s="105"/>
      <c r="H6" s="105"/>
    </row>
    <row r="7" spans="1:8" ht="15" x14ac:dyDescent="0.2">
      <c r="A7" s="105" t="s">
        <v>77</v>
      </c>
      <c r="B7" s="105"/>
      <c r="C7" s="108">
        <v>1</v>
      </c>
      <c r="D7" s="109" t="s">
        <v>78</v>
      </c>
      <c r="E7" s="105"/>
      <c r="F7" s="105"/>
      <c r="G7" s="105"/>
      <c r="H7" s="105"/>
    </row>
    <row r="8" spans="1:8" ht="15" x14ac:dyDescent="0.2">
      <c r="A8" s="105" t="s">
        <v>79</v>
      </c>
      <c r="B8" s="105"/>
      <c r="C8" s="105"/>
      <c r="D8" s="105"/>
      <c r="E8" s="105"/>
      <c r="F8" s="105"/>
      <c r="G8" s="105"/>
      <c r="H8" s="105"/>
    </row>
    <row r="9" spans="1:8" ht="15" x14ac:dyDescent="0.2">
      <c r="A9" s="105"/>
      <c r="B9" s="105" t="s">
        <v>80</v>
      </c>
      <c r="C9" s="9">
        <v>5.0000000000000001E-3</v>
      </c>
      <c r="D9" s="105"/>
      <c r="E9" s="105"/>
      <c r="F9" s="105"/>
      <c r="G9" s="105"/>
      <c r="H9" s="105"/>
    </row>
    <row r="10" spans="1:8" ht="15" x14ac:dyDescent="0.2">
      <c r="A10" s="105"/>
      <c r="B10" s="105" t="s">
        <v>81</v>
      </c>
      <c r="C10" s="9">
        <v>0.03</v>
      </c>
      <c r="D10" s="105"/>
      <c r="E10" s="105"/>
      <c r="F10" s="105"/>
      <c r="G10" s="105"/>
      <c r="H10" s="105"/>
    </row>
    <row r="11" spans="1:8" ht="15" x14ac:dyDescent="0.2">
      <c r="A11" s="105"/>
      <c r="B11" s="105" t="s">
        <v>82</v>
      </c>
      <c r="C11" s="9">
        <v>2.5000000000000001E-2</v>
      </c>
      <c r="D11" s="105"/>
      <c r="E11" s="105"/>
      <c r="F11" s="105"/>
      <c r="G11" s="105"/>
      <c r="H11" s="105"/>
    </row>
    <row r="12" spans="1:8" ht="15" x14ac:dyDescent="0.2">
      <c r="A12" s="105"/>
      <c r="B12" s="105" t="s">
        <v>83</v>
      </c>
      <c r="C12" s="9">
        <v>0.15</v>
      </c>
      <c r="D12" s="105"/>
      <c r="E12" s="105"/>
      <c r="F12" s="105"/>
      <c r="G12" s="105"/>
      <c r="H12" s="105"/>
    </row>
    <row r="13" spans="1:8" ht="15" x14ac:dyDescent="0.2">
      <c r="A13" s="105"/>
      <c r="B13" s="105" t="s">
        <v>84</v>
      </c>
      <c r="C13" s="9">
        <v>0.02</v>
      </c>
      <c r="D13" s="105"/>
      <c r="E13" s="105"/>
      <c r="F13" s="105"/>
      <c r="G13" s="105"/>
      <c r="H13" s="105"/>
    </row>
    <row r="14" spans="1:8" ht="15" x14ac:dyDescent="0.2">
      <c r="A14" s="105"/>
      <c r="B14" s="105" t="s">
        <v>85</v>
      </c>
      <c r="C14" s="9">
        <v>0.01</v>
      </c>
      <c r="D14" s="105"/>
      <c r="E14" s="105"/>
      <c r="F14" s="105"/>
      <c r="G14" s="105"/>
      <c r="H14" s="105"/>
    </row>
    <row r="15" spans="1:8" ht="15" x14ac:dyDescent="0.2">
      <c r="A15" s="105"/>
      <c r="B15" s="105" t="s">
        <v>86</v>
      </c>
      <c r="C15" s="110">
        <f>SUM(C9:C14)</f>
        <v>0.24</v>
      </c>
      <c r="D15" s="105"/>
      <c r="E15" s="105"/>
      <c r="F15" s="105"/>
      <c r="G15" s="105"/>
      <c r="H15" s="105"/>
    </row>
    <row r="16" spans="1:8" ht="15" x14ac:dyDescent="0.2">
      <c r="A16" s="105"/>
      <c r="B16" s="105"/>
      <c r="C16" s="110"/>
      <c r="D16" s="105"/>
      <c r="E16" s="105"/>
      <c r="F16" s="105"/>
      <c r="G16" s="105"/>
      <c r="H16" s="105"/>
    </row>
    <row r="17" spans="1:8" ht="15" x14ac:dyDescent="0.2">
      <c r="A17" s="105" t="s">
        <v>87</v>
      </c>
      <c r="B17" s="105"/>
      <c r="C17" s="105"/>
      <c r="D17" s="105"/>
      <c r="E17" s="105"/>
      <c r="F17" s="105"/>
      <c r="G17" s="105"/>
      <c r="H17" s="105"/>
    </row>
    <row r="18" spans="1:8" ht="15" x14ac:dyDescent="0.2">
      <c r="A18" s="105"/>
      <c r="B18" s="105" t="s">
        <v>88</v>
      </c>
      <c r="C18" s="105"/>
      <c r="D18" s="105"/>
      <c r="E18" s="105"/>
      <c r="F18" s="105"/>
      <c r="G18" s="105"/>
      <c r="H18" s="105"/>
    </row>
    <row r="19" spans="1:8" ht="15" x14ac:dyDescent="0.2">
      <c r="A19" s="105"/>
      <c r="B19" s="105"/>
      <c r="C19" s="105"/>
      <c r="D19" s="105"/>
      <c r="E19" s="105"/>
      <c r="F19" s="105"/>
      <c r="G19" s="105"/>
      <c r="H19" s="105"/>
    </row>
    <row r="20" spans="1:8" ht="15" x14ac:dyDescent="0.2">
      <c r="A20" s="105" t="s">
        <v>89</v>
      </c>
      <c r="B20" s="105"/>
      <c r="C20" s="105"/>
      <c r="D20" s="105"/>
      <c r="E20" s="105"/>
      <c r="F20" s="105"/>
      <c r="G20" s="105"/>
      <c r="H20" s="105"/>
    </row>
    <row r="21" spans="1:8" ht="15" x14ac:dyDescent="0.2">
      <c r="A21" s="105"/>
      <c r="B21" s="105" t="s">
        <v>90</v>
      </c>
      <c r="C21" s="105"/>
      <c r="D21" s="105"/>
      <c r="E21" s="105"/>
      <c r="F21" s="105"/>
      <c r="G21" s="105"/>
      <c r="H21" s="105"/>
    </row>
    <row r="22" spans="1:8" ht="15" x14ac:dyDescent="0.2">
      <c r="A22" s="105"/>
      <c r="B22" s="105"/>
      <c r="C22" s="105"/>
      <c r="D22" s="105"/>
      <c r="E22" s="105"/>
      <c r="F22" s="105"/>
      <c r="G22" s="105"/>
      <c r="H22" s="105"/>
    </row>
    <row r="23" spans="1:8" ht="15" x14ac:dyDescent="0.2">
      <c r="A23" s="105" t="s">
        <v>91</v>
      </c>
      <c r="B23" s="105"/>
      <c r="C23" s="105"/>
      <c r="D23" s="105"/>
      <c r="E23" s="105"/>
      <c r="F23" s="105"/>
      <c r="G23" s="105"/>
      <c r="H23" s="105"/>
    </row>
    <row r="24" spans="1:8" ht="15" x14ac:dyDescent="0.2">
      <c r="A24" s="105"/>
      <c r="B24" s="105" t="s">
        <v>92</v>
      </c>
      <c r="C24" s="105"/>
      <c r="D24" s="105"/>
      <c r="E24" s="105"/>
      <c r="F24" s="105"/>
      <c r="G24" s="105"/>
      <c r="H24" s="105"/>
    </row>
    <row r="25" spans="1:8" ht="15" x14ac:dyDescent="0.2">
      <c r="A25" s="105"/>
      <c r="B25" s="105" t="s">
        <v>93</v>
      </c>
      <c r="C25" s="105"/>
      <c r="D25" s="105"/>
      <c r="E25" s="105"/>
      <c r="F25" s="105"/>
      <c r="G25" s="105"/>
      <c r="H25" s="105"/>
    </row>
    <row r="26" spans="1:8" ht="15" x14ac:dyDescent="0.2">
      <c r="A26" s="105"/>
      <c r="B26" s="105"/>
      <c r="C26" s="105" t="s">
        <v>94</v>
      </c>
      <c r="D26" s="105"/>
      <c r="E26" s="105"/>
      <c r="F26" s="105"/>
      <c r="G26" s="105"/>
      <c r="H26" s="105"/>
    </row>
    <row r="27" spans="1:8" ht="15" x14ac:dyDescent="0.2">
      <c r="A27" s="105"/>
      <c r="B27" s="105"/>
      <c r="C27" s="105" t="s">
        <v>95</v>
      </c>
      <c r="D27" s="105"/>
      <c r="E27" s="105"/>
      <c r="F27" s="105"/>
      <c r="G27" s="105"/>
      <c r="H27" s="105"/>
    </row>
    <row r="28" spans="1:8" ht="15" x14ac:dyDescent="0.2">
      <c r="A28" s="105"/>
      <c r="B28" s="105" t="s">
        <v>96</v>
      </c>
      <c r="C28" s="105"/>
      <c r="D28" s="105"/>
      <c r="E28" s="105"/>
      <c r="F28" s="105"/>
      <c r="G28" s="105"/>
      <c r="H28" s="105"/>
    </row>
    <row r="29" spans="1:8" ht="15" x14ac:dyDescent="0.2">
      <c r="A29" s="105"/>
      <c r="B29" s="105"/>
      <c r="C29" s="105" t="s">
        <v>97</v>
      </c>
      <c r="D29" s="105"/>
      <c r="E29" s="105"/>
      <c r="F29" s="105"/>
      <c r="G29" s="105"/>
      <c r="H29" s="105"/>
    </row>
    <row r="30" spans="1:8" ht="15" x14ac:dyDescent="0.2">
      <c r="A30" s="105"/>
      <c r="B30" s="105"/>
      <c r="C30" s="105" t="s">
        <v>98</v>
      </c>
      <c r="D30" s="105"/>
      <c r="E30" s="105"/>
      <c r="F30" s="105"/>
      <c r="G30" s="105"/>
      <c r="H30" s="105"/>
    </row>
    <row r="31" spans="1:8" ht="15" x14ac:dyDescent="0.2">
      <c r="A31" s="105"/>
      <c r="B31" s="105" t="s">
        <v>99</v>
      </c>
      <c r="C31" s="99"/>
      <c r="D31" s="99"/>
      <c r="E31" s="99"/>
      <c r="F31" s="105"/>
      <c r="G31" s="105"/>
      <c r="H31" s="105"/>
    </row>
    <row r="32" spans="1:8" ht="15" x14ac:dyDescent="0.2">
      <c r="A32" s="105"/>
      <c r="B32" s="105"/>
      <c r="C32" s="105" t="s">
        <v>100</v>
      </c>
      <c r="D32" s="105"/>
      <c r="E32" s="105"/>
      <c r="F32" s="105"/>
      <c r="G32" s="105"/>
      <c r="H32" s="105"/>
    </row>
    <row r="33" spans="1:8" ht="15" x14ac:dyDescent="0.2">
      <c r="A33" s="105"/>
      <c r="B33" s="105"/>
      <c r="C33" s="105" t="s">
        <v>101</v>
      </c>
      <c r="D33" s="105"/>
      <c r="E33" s="105"/>
      <c r="F33" s="105"/>
      <c r="G33" s="105"/>
      <c r="H33" s="105"/>
    </row>
    <row r="34" spans="1:8" ht="15" x14ac:dyDescent="0.2">
      <c r="A34" s="105"/>
      <c r="B34" s="105" t="s">
        <v>102</v>
      </c>
      <c r="C34" s="105"/>
      <c r="D34" s="105"/>
      <c r="E34" s="105"/>
      <c r="F34" s="105"/>
      <c r="G34" s="105"/>
      <c r="H34" s="105"/>
    </row>
    <row r="35" spans="1:8" ht="15" x14ac:dyDescent="0.2">
      <c r="A35" s="105"/>
      <c r="B35" s="105" t="s">
        <v>103</v>
      </c>
      <c r="C35" s="105"/>
      <c r="D35" s="105"/>
      <c r="E35" s="105"/>
      <c r="F35" s="105"/>
      <c r="G35" s="105"/>
      <c r="H35" s="105"/>
    </row>
    <row r="36" spans="1:8" ht="15" x14ac:dyDescent="0.2">
      <c r="A36" s="105"/>
      <c r="B36" s="105" t="s">
        <v>104</v>
      </c>
      <c r="C36" s="105"/>
      <c r="D36" s="105"/>
      <c r="E36" s="105"/>
      <c r="F36" s="105"/>
      <c r="G36" s="105"/>
      <c r="H36" s="105"/>
    </row>
    <row r="37" spans="1:8" ht="15" x14ac:dyDescent="0.2">
      <c r="A37" s="105"/>
      <c r="B37" s="105"/>
      <c r="C37" s="111" t="s">
        <v>105</v>
      </c>
      <c r="D37" s="105"/>
      <c r="E37" s="105"/>
      <c r="F37" s="105"/>
      <c r="G37" s="105"/>
      <c r="H37" s="105"/>
    </row>
    <row r="38" spans="1:8" ht="15" x14ac:dyDescent="0.2">
      <c r="A38" s="105"/>
      <c r="B38" s="111"/>
      <c r="C38" s="105" t="s">
        <v>106</v>
      </c>
      <c r="D38" s="105"/>
      <c r="E38" s="105"/>
      <c r="F38" s="105"/>
      <c r="G38" s="105"/>
      <c r="H38" s="105"/>
    </row>
    <row r="39" spans="1:8" ht="15" x14ac:dyDescent="0.2">
      <c r="A39" s="105"/>
      <c r="B39" s="111"/>
      <c r="C39" s="105" t="s">
        <v>107</v>
      </c>
      <c r="D39" s="105"/>
      <c r="E39" s="105"/>
      <c r="F39" s="105"/>
      <c r="G39" s="105"/>
      <c r="H39" s="105"/>
    </row>
    <row r="40" spans="1:8" ht="15" x14ac:dyDescent="0.2">
      <c r="A40" s="105"/>
      <c r="B40" s="111" t="s">
        <v>108</v>
      </c>
      <c r="C40" s="105"/>
      <c r="D40" s="105"/>
      <c r="E40" s="105"/>
      <c r="F40" s="105"/>
      <c r="G40" s="105"/>
      <c r="H40" s="105"/>
    </row>
    <row r="41" spans="1:8" ht="15" x14ac:dyDescent="0.2">
      <c r="A41" s="105"/>
      <c r="B41" s="111"/>
      <c r="C41" s="105" t="s">
        <v>109</v>
      </c>
      <c r="D41" s="105"/>
      <c r="E41" s="105"/>
      <c r="F41" s="105"/>
      <c r="G41" s="105"/>
      <c r="H41" s="105"/>
    </row>
    <row r="42" spans="1:8" ht="15" x14ac:dyDescent="0.2">
      <c r="A42" s="105"/>
      <c r="B42" s="111" t="s">
        <v>110</v>
      </c>
      <c r="C42" s="105"/>
      <c r="D42" s="105"/>
      <c r="E42" s="105"/>
      <c r="F42" s="105"/>
      <c r="G42" s="105"/>
      <c r="H42" s="105"/>
    </row>
    <row r="43" spans="1:8" ht="15" x14ac:dyDescent="0.2">
      <c r="A43" s="105"/>
      <c r="B43" s="111"/>
      <c r="C43" s="105"/>
      <c r="D43" s="105"/>
      <c r="E43" s="105"/>
      <c r="F43" s="105"/>
      <c r="G43" s="105"/>
      <c r="H43" s="105"/>
    </row>
    <row r="44" spans="1:8" ht="15" x14ac:dyDescent="0.2">
      <c r="A44" s="105" t="s">
        <v>111</v>
      </c>
      <c r="B44" s="105"/>
      <c r="C44" s="105"/>
      <c r="D44" s="105"/>
      <c r="E44" s="105"/>
      <c r="F44" s="105"/>
      <c r="G44" s="105"/>
      <c r="H44" s="105"/>
    </row>
    <row r="45" spans="1:8" ht="15" x14ac:dyDescent="0.2">
      <c r="A45" s="105"/>
      <c r="B45" s="105" t="s">
        <v>112</v>
      </c>
      <c r="C45" s="108">
        <v>752.64</v>
      </c>
      <c r="D45" s="109" t="s">
        <v>113</v>
      </c>
      <c r="E45" s="105"/>
      <c r="F45" s="105"/>
      <c r="G45" s="105"/>
      <c r="H45" s="105"/>
    </row>
    <row r="46" spans="1:8" ht="15" x14ac:dyDescent="0.2">
      <c r="A46" s="105"/>
      <c r="B46" s="105" t="s">
        <v>114</v>
      </c>
      <c r="C46" s="108">
        <v>1500</v>
      </c>
      <c r="D46" s="109" t="s">
        <v>113</v>
      </c>
      <c r="E46" s="105"/>
      <c r="F46" s="105"/>
      <c r="G46" s="105"/>
      <c r="H46" s="105"/>
    </row>
    <row r="47" spans="1:8" ht="15" x14ac:dyDescent="0.2">
      <c r="A47" s="105"/>
      <c r="B47" s="105" t="s">
        <v>115</v>
      </c>
      <c r="C47" s="112">
        <v>0.05</v>
      </c>
      <c r="D47" s="109" t="s">
        <v>116</v>
      </c>
      <c r="E47" s="105"/>
      <c r="F47" s="105"/>
      <c r="G47" s="105"/>
      <c r="H47" s="105"/>
    </row>
    <row r="48" spans="1:8" ht="15" x14ac:dyDescent="0.2">
      <c r="A48" s="105"/>
      <c r="B48" s="105"/>
      <c r="C48" s="112"/>
      <c r="D48" s="109"/>
      <c r="E48" s="105"/>
      <c r="F48" s="105"/>
      <c r="G48" s="105"/>
      <c r="H48" s="105"/>
    </row>
    <row r="49" spans="1:8" ht="15" x14ac:dyDescent="0.2">
      <c r="A49" s="105" t="s">
        <v>117</v>
      </c>
      <c r="B49" s="105"/>
      <c r="C49" s="110">
        <v>1.038</v>
      </c>
      <c r="D49" s="109" t="s">
        <v>118</v>
      </c>
      <c r="E49" s="105"/>
      <c r="F49" s="105"/>
      <c r="G49" s="105"/>
      <c r="H49" s="105"/>
    </row>
    <row r="50" spans="1:8" ht="15" x14ac:dyDescent="0.2">
      <c r="A50" s="105"/>
      <c r="B50" s="105"/>
      <c r="C50" s="110"/>
      <c r="D50" s="109"/>
      <c r="E50" s="105"/>
      <c r="F50" s="105"/>
      <c r="G50" s="105"/>
      <c r="H50" s="105"/>
    </row>
    <row r="51" spans="1:8" ht="15" x14ac:dyDescent="0.2">
      <c r="A51" s="105"/>
      <c r="B51" s="105" t="s">
        <v>119</v>
      </c>
      <c r="C51" s="105" t="s">
        <v>120</v>
      </c>
      <c r="D51" s="105"/>
      <c r="E51" s="105"/>
      <c r="F51" s="105"/>
      <c r="G51" s="105"/>
      <c r="H51" s="105"/>
    </row>
    <row r="52" spans="1:8" ht="15" x14ac:dyDescent="0.2">
      <c r="A52" s="105"/>
      <c r="B52" s="105" t="s">
        <v>121</v>
      </c>
      <c r="C52" s="105" t="s">
        <v>122</v>
      </c>
      <c r="D52" s="105"/>
      <c r="E52" s="105"/>
      <c r="F52" s="105"/>
      <c r="G52" s="105"/>
      <c r="H52" s="105"/>
    </row>
    <row r="53" spans="1:8" ht="15" x14ac:dyDescent="0.2">
      <c r="A53" s="105"/>
      <c r="B53" s="105" t="s">
        <v>123</v>
      </c>
      <c r="C53" s="105" t="s">
        <v>124</v>
      </c>
      <c r="D53" s="105"/>
      <c r="E53" s="105"/>
      <c r="F53" s="105"/>
      <c r="G53" s="105"/>
      <c r="H53" s="105"/>
    </row>
    <row r="54" spans="1:8" ht="15" x14ac:dyDescent="0.2">
      <c r="A54" s="105"/>
      <c r="B54" s="105" t="s">
        <v>125</v>
      </c>
      <c r="C54" s="105" t="s">
        <v>126</v>
      </c>
      <c r="D54" s="105"/>
      <c r="E54" s="105"/>
      <c r="F54" s="105"/>
      <c r="G54" s="105"/>
      <c r="H54" s="105"/>
    </row>
    <row r="55" spans="1:8" ht="15" x14ac:dyDescent="0.2">
      <c r="A55" s="105"/>
      <c r="B55" s="105"/>
      <c r="C55" s="105"/>
      <c r="D55" s="105"/>
      <c r="E55" s="105"/>
      <c r="F55" s="105"/>
      <c r="G55" s="105"/>
      <c r="H55" s="105"/>
    </row>
    <row r="56" spans="1:8" ht="15" x14ac:dyDescent="0.2">
      <c r="A56" s="105" t="s">
        <v>127</v>
      </c>
      <c r="B56" s="105"/>
      <c r="C56" s="105" t="s">
        <v>128</v>
      </c>
      <c r="D56" s="112">
        <v>1</v>
      </c>
      <c r="E56" s="105" t="s">
        <v>129</v>
      </c>
      <c r="F56" s="105"/>
      <c r="G56" s="105"/>
      <c r="H56" s="105"/>
    </row>
    <row r="57" spans="1:8" ht="15" x14ac:dyDescent="0.2">
      <c r="A57" s="105"/>
      <c r="B57" s="105"/>
      <c r="C57" s="105" t="s">
        <v>120</v>
      </c>
      <c r="D57" s="112">
        <v>0.93</v>
      </c>
      <c r="E57" s="105" t="s">
        <v>130</v>
      </c>
      <c r="F57" s="105"/>
      <c r="G57" s="105"/>
      <c r="H57" s="105"/>
    </row>
    <row r="58" spans="1:8" ht="15" x14ac:dyDescent="0.2">
      <c r="A58" s="105"/>
      <c r="B58" s="105"/>
      <c r="C58" s="105" t="s">
        <v>131</v>
      </c>
      <c r="D58" s="112">
        <v>0.93</v>
      </c>
      <c r="E58" s="105" t="s">
        <v>130</v>
      </c>
      <c r="F58" s="105"/>
      <c r="G58" s="105"/>
      <c r="H58" s="105"/>
    </row>
    <row r="59" spans="1:8" ht="15" x14ac:dyDescent="0.2">
      <c r="A59" s="105"/>
      <c r="B59" s="105"/>
      <c r="C59" s="105" t="s">
        <v>124</v>
      </c>
      <c r="D59" s="112">
        <v>0.93</v>
      </c>
      <c r="E59" s="105" t="s">
        <v>130</v>
      </c>
      <c r="F59" s="105"/>
      <c r="G59" s="105"/>
      <c r="H59" s="105"/>
    </row>
    <row r="60" spans="1:8" ht="15" x14ac:dyDescent="0.2">
      <c r="A60" s="105"/>
      <c r="B60" s="105"/>
      <c r="C60" s="105" t="s">
        <v>126</v>
      </c>
      <c r="D60" s="112">
        <v>1</v>
      </c>
      <c r="E60" s="105" t="s">
        <v>130</v>
      </c>
      <c r="F60" s="105"/>
      <c r="G60" s="105"/>
      <c r="H60" s="105"/>
    </row>
    <row r="61" spans="1:8" ht="15" x14ac:dyDescent="0.2">
      <c r="A61" s="105"/>
      <c r="B61" s="105"/>
      <c r="C61" s="105"/>
      <c r="D61" s="112"/>
      <c r="E61" s="105"/>
      <c r="F61" s="105"/>
      <c r="G61" s="105"/>
      <c r="H61" s="105"/>
    </row>
    <row r="62" spans="1:8" ht="15" x14ac:dyDescent="0.2">
      <c r="A62" s="105" t="s">
        <v>132</v>
      </c>
      <c r="B62" s="105"/>
      <c r="C62" s="113" t="s">
        <v>133</v>
      </c>
      <c r="D62" s="105"/>
      <c r="E62" s="105"/>
      <c r="F62" s="105"/>
      <c r="G62" s="105"/>
      <c r="H62" s="105"/>
    </row>
    <row r="63" spans="1:8" ht="15" x14ac:dyDescent="0.2">
      <c r="A63" s="105" t="s">
        <v>134</v>
      </c>
      <c r="B63" s="105"/>
      <c r="C63" s="112" t="s">
        <v>135</v>
      </c>
      <c r="D63" s="105"/>
      <c r="E63" s="105"/>
      <c r="F63" s="105"/>
      <c r="G63" s="105"/>
      <c r="H63" s="105"/>
    </row>
    <row r="64" spans="1:8" ht="15" x14ac:dyDescent="0.2">
      <c r="A64" s="105" t="s">
        <v>136</v>
      </c>
      <c r="B64" s="105"/>
      <c r="C64" s="112" t="s">
        <v>137</v>
      </c>
      <c r="D64" s="105"/>
      <c r="E64" s="105"/>
      <c r="F64" s="105"/>
      <c r="G64" s="105"/>
      <c r="H64" s="105"/>
    </row>
    <row r="65" spans="1:8" ht="15" x14ac:dyDescent="0.2">
      <c r="A65" s="105" t="s">
        <v>138</v>
      </c>
      <c r="B65" s="105"/>
      <c r="C65" s="112" t="s">
        <v>139</v>
      </c>
      <c r="D65" s="105"/>
      <c r="E65" s="105"/>
      <c r="F65" s="105"/>
      <c r="G65" s="105"/>
      <c r="H65" s="105"/>
    </row>
    <row r="66" spans="1:8" ht="15" x14ac:dyDescent="0.2">
      <c r="A66" s="105" t="s">
        <v>140</v>
      </c>
      <c r="B66" s="105"/>
      <c r="C66" s="112">
        <v>0.04</v>
      </c>
      <c r="D66" s="105" t="s">
        <v>141</v>
      </c>
      <c r="E66" s="105"/>
      <c r="F66" s="105"/>
      <c r="G66" s="105"/>
      <c r="H66" s="105"/>
    </row>
    <row r="67" spans="1:8" ht="15" x14ac:dyDescent="0.2">
      <c r="A67" s="105"/>
      <c r="B67" s="105"/>
      <c r="C67" s="105"/>
      <c r="D67" s="105" t="s">
        <v>142</v>
      </c>
      <c r="E67" s="105"/>
      <c r="F67" s="105"/>
      <c r="G67" s="105"/>
      <c r="H67" s="105"/>
    </row>
    <row r="68" spans="1:8" ht="15" x14ac:dyDescent="0.2">
      <c r="A68" s="105" t="s">
        <v>143</v>
      </c>
      <c r="B68" s="105"/>
      <c r="C68" s="105" t="s">
        <v>144</v>
      </c>
      <c r="D68" s="105"/>
      <c r="E68" s="105"/>
      <c r="F68" s="105"/>
      <c r="G68" s="105"/>
      <c r="H68" s="105"/>
    </row>
    <row r="69" spans="1:8" ht="15" x14ac:dyDescent="0.2">
      <c r="A69" s="105"/>
      <c r="B69" s="105"/>
      <c r="C69" s="105"/>
      <c r="D69" s="105"/>
      <c r="E69" s="105"/>
      <c r="F69" s="105"/>
      <c r="G69" s="105"/>
      <c r="H69" s="105"/>
    </row>
    <row r="70" spans="1:8" ht="15" x14ac:dyDescent="0.2">
      <c r="A70" s="105" t="s">
        <v>145</v>
      </c>
      <c r="B70" s="105"/>
      <c r="C70" s="105" t="s">
        <v>146</v>
      </c>
      <c r="D70" s="105"/>
      <c r="E70" s="105"/>
      <c r="F70" s="105"/>
      <c r="G70" s="105"/>
      <c r="H70" s="105"/>
    </row>
    <row r="71" spans="1:8" ht="15" x14ac:dyDescent="0.2">
      <c r="A71" s="105"/>
      <c r="B71" s="105"/>
      <c r="C71" s="109" t="s">
        <v>147</v>
      </c>
      <c r="D71" s="105"/>
      <c r="E71" s="105"/>
      <c r="F71" s="105"/>
      <c r="G71" s="105"/>
      <c r="H71" s="105"/>
    </row>
    <row r="72" spans="1:8" ht="15" x14ac:dyDescent="0.2">
      <c r="A72" s="105"/>
      <c r="B72" s="105"/>
      <c r="C72" s="109" t="s">
        <v>148</v>
      </c>
      <c r="D72" s="105"/>
      <c r="E72" s="105"/>
      <c r="F72" s="105"/>
      <c r="G72" s="105"/>
      <c r="H72" s="105"/>
    </row>
    <row r="73" spans="1:8" ht="15" x14ac:dyDescent="0.2">
      <c r="A73" s="105"/>
      <c r="B73" s="105"/>
      <c r="C73" s="109" t="s">
        <v>149</v>
      </c>
      <c r="D73" s="105"/>
      <c r="E73" s="105"/>
      <c r="F73" s="105"/>
      <c r="G73" s="105"/>
      <c r="H73" s="105"/>
    </row>
    <row r="74" spans="1:8" ht="15" x14ac:dyDescent="0.2">
      <c r="A74" s="105"/>
      <c r="B74" s="105"/>
      <c r="C74" s="109"/>
      <c r="D74" s="105"/>
      <c r="E74" s="105"/>
      <c r="F74" s="105"/>
      <c r="G74" s="105"/>
      <c r="H74" s="105"/>
    </row>
    <row r="75" spans="1:8" ht="15" x14ac:dyDescent="0.2">
      <c r="A75" s="105" t="s">
        <v>66</v>
      </c>
      <c r="B75" s="105"/>
      <c r="C75" s="105" t="s">
        <v>150</v>
      </c>
      <c r="D75" s="105"/>
      <c r="E75" s="105"/>
      <c r="F75" s="105"/>
      <c r="G75" s="105"/>
      <c r="H75" s="105"/>
    </row>
    <row r="76" spans="1:8" ht="15" x14ac:dyDescent="0.2">
      <c r="A76" s="105"/>
      <c r="B76" s="105"/>
      <c r="C76" s="105" t="s">
        <v>151</v>
      </c>
      <c r="D76" s="105"/>
      <c r="E76" s="105"/>
      <c r="F76" s="105"/>
      <c r="G76" s="105"/>
      <c r="H76" s="105"/>
    </row>
    <row r="77" spans="1:8" ht="15" x14ac:dyDescent="0.2">
      <c r="A77" s="105"/>
      <c r="B77" s="105"/>
      <c r="C77" s="105"/>
      <c r="D77" s="105"/>
      <c r="E77" s="105"/>
      <c r="F77" s="105"/>
      <c r="G77" s="105"/>
      <c r="H77" s="105"/>
    </row>
    <row r="78" spans="1:8" ht="15" x14ac:dyDescent="0.2">
      <c r="A78" s="105" t="s">
        <v>152</v>
      </c>
      <c r="B78" s="105"/>
      <c r="C78" s="105" t="s">
        <v>151</v>
      </c>
      <c r="D78" s="105"/>
      <c r="E78" s="105"/>
      <c r="F78" s="105"/>
      <c r="G78" s="105"/>
      <c r="H78" s="105"/>
    </row>
    <row r="79" spans="1:8" ht="15" x14ac:dyDescent="0.2">
      <c r="A79" s="105"/>
      <c r="B79" s="105"/>
      <c r="C79" s="105"/>
      <c r="D79" s="105"/>
      <c r="E79" s="105"/>
      <c r="F79" s="105"/>
      <c r="G79" s="105"/>
      <c r="H79" s="105"/>
    </row>
    <row r="80" spans="1:8" ht="15" x14ac:dyDescent="0.2">
      <c r="A80" s="105" t="s">
        <v>71</v>
      </c>
      <c r="B80" s="105"/>
      <c r="C80" s="105" t="s">
        <v>153</v>
      </c>
      <c r="D80" s="105"/>
      <c r="E80" s="105"/>
      <c r="F80" s="105"/>
      <c r="G80" s="105"/>
      <c r="H80" s="105"/>
    </row>
  </sheetData>
  <pageMargins left="0.38" right="0.25" top="0.63" bottom="1" header="0.5" footer="0.5"/>
  <pageSetup scale="77" orientation="portrait" r:id="rId1"/>
  <rowBreaks count="1" manualBreakCount="1">
    <brk id="48"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5"/>
  <sheetViews>
    <sheetView topLeftCell="A62" workbookViewId="0">
      <selection activeCell="A84" sqref="A84"/>
    </sheetView>
  </sheetViews>
  <sheetFormatPr defaultRowHeight="15" x14ac:dyDescent="0.2"/>
  <cols>
    <col min="1" max="1" width="14.85546875" style="105" customWidth="1"/>
    <col min="2" max="2" width="34.28515625" style="105" customWidth="1"/>
    <col min="3" max="3" width="11.7109375" style="105" bestFit="1" customWidth="1"/>
    <col min="4" max="7" width="9.140625" style="105"/>
    <col min="8" max="8" width="21.42578125" style="105" customWidth="1"/>
    <col min="9" max="16384" width="9.140625" style="105"/>
  </cols>
  <sheetData>
    <row r="1" spans="1:8" x14ac:dyDescent="0.2">
      <c r="A1" s="102" t="str">
        <f>General!$A$1</f>
        <v>FINANCIAL ASSURANCE AMOUNT CALCULATION</v>
      </c>
      <c r="B1" s="102"/>
      <c r="C1" s="102"/>
      <c r="D1" s="102"/>
      <c r="E1" s="102"/>
      <c r="F1" s="102"/>
      <c r="H1" s="106" t="str">
        <f>General!$D$1</f>
        <v>Questa Mine Site</v>
      </c>
    </row>
    <row r="2" spans="1:8" x14ac:dyDescent="0.2">
      <c r="A2" s="102" t="str">
        <f>General!A2</f>
        <v>Chevron Mining Inc.</v>
      </c>
      <c r="B2" s="102"/>
      <c r="C2" s="102"/>
      <c r="D2" s="102"/>
      <c r="E2" s="102"/>
      <c r="F2" s="102"/>
      <c r="H2" s="106" t="s">
        <v>154</v>
      </c>
    </row>
    <row r="3" spans="1:8" x14ac:dyDescent="0.2">
      <c r="A3" s="4" t="s">
        <v>155</v>
      </c>
      <c r="B3" s="4"/>
      <c r="C3" s="102"/>
      <c r="D3" s="102"/>
      <c r="E3" s="102"/>
      <c r="F3" s="102"/>
      <c r="H3" s="114">
        <f>General!$D$2</f>
        <v>37256</v>
      </c>
    </row>
    <row r="4" spans="1:8" x14ac:dyDescent="0.2">
      <c r="G4" s="115" t="s">
        <v>156</v>
      </c>
      <c r="H4" s="264" t="s">
        <v>157</v>
      </c>
    </row>
    <row r="6" spans="1:8" x14ac:dyDescent="0.2">
      <c r="A6" s="105" t="s">
        <v>76</v>
      </c>
    </row>
    <row r="7" spans="1:8" x14ac:dyDescent="0.2">
      <c r="A7" s="105" t="s">
        <v>158</v>
      </c>
    </row>
    <row r="9" spans="1:8" x14ac:dyDescent="0.2">
      <c r="A9" s="105" t="s">
        <v>159</v>
      </c>
      <c r="B9" s="105" t="s">
        <v>160</v>
      </c>
      <c r="D9" s="109"/>
    </row>
    <row r="10" spans="1:8" x14ac:dyDescent="0.2">
      <c r="A10" s="10"/>
      <c r="B10" s="10" t="s">
        <v>161</v>
      </c>
      <c r="C10" s="10"/>
      <c r="D10" s="10"/>
      <c r="E10" s="10"/>
      <c r="F10" s="10"/>
      <c r="G10" s="10"/>
      <c r="H10" s="10"/>
    </row>
    <row r="11" spans="1:8" x14ac:dyDescent="0.2">
      <c r="A11" s="10"/>
      <c r="B11" s="10"/>
      <c r="C11" s="10"/>
      <c r="D11" s="10"/>
      <c r="E11" s="10"/>
      <c r="F11" s="10"/>
      <c r="G11" s="10"/>
      <c r="H11" s="10"/>
    </row>
    <row r="12" spans="1:8" x14ac:dyDescent="0.2">
      <c r="B12" s="105" t="s">
        <v>162</v>
      </c>
      <c r="D12" s="109"/>
    </row>
    <row r="13" spans="1:8" x14ac:dyDescent="0.2">
      <c r="D13" s="109"/>
    </row>
    <row r="14" spans="1:8" x14ac:dyDescent="0.2">
      <c r="B14" s="105" t="s">
        <v>163</v>
      </c>
      <c r="D14" s="109"/>
    </row>
    <row r="15" spans="1:8" x14ac:dyDescent="0.2">
      <c r="B15" s="105" t="s">
        <v>636</v>
      </c>
      <c r="D15" s="109"/>
    </row>
    <row r="16" spans="1:8" x14ac:dyDescent="0.2">
      <c r="B16" s="13" t="s">
        <v>637</v>
      </c>
      <c r="D16" s="109"/>
    </row>
    <row r="17" spans="1:4" x14ac:dyDescent="0.2">
      <c r="D17" s="109"/>
    </row>
    <row r="18" spans="1:4" x14ac:dyDescent="0.2">
      <c r="B18" s="105" t="s">
        <v>164</v>
      </c>
      <c r="D18" s="109"/>
    </row>
    <row r="19" spans="1:4" x14ac:dyDescent="0.2">
      <c r="B19" s="105" t="s">
        <v>165</v>
      </c>
      <c r="D19" s="109"/>
    </row>
    <row r="20" spans="1:4" x14ac:dyDescent="0.2">
      <c r="D20" s="109"/>
    </row>
    <row r="21" spans="1:4" x14ac:dyDescent="0.2">
      <c r="A21" s="105" t="s">
        <v>77</v>
      </c>
      <c r="C21" s="105" t="s">
        <v>166</v>
      </c>
      <c r="D21" s="109"/>
    </row>
    <row r="22" spans="1:4" x14ac:dyDescent="0.2">
      <c r="C22" s="10" t="s">
        <v>577</v>
      </c>
      <c r="D22" s="109"/>
    </row>
    <row r="23" spans="1:4" x14ac:dyDescent="0.2">
      <c r="D23" s="109"/>
    </row>
    <row r="24" spans="1:4" x14ac:dyDescent="0.2">
      <c r="A24" s="105" t="s">
        <v>79</v>
      </c>
      <c r="C24" s="105" t="s">
        <v>167</v>
      </c>
    </row>
    <row r="26" spans="1:4" x14ac:dyDescent="0.2">
      <c r="A26" s="105" t="s">
        <v>168</v>
      </c>
      <c r="C26" s="105" t="s">
        <v>169</v>
      </c>
    </row>
    <row r="28" spans="1:4" x14ac:dyDescent="0.2">
      <c r="A28" s="105" t="s">
        <v>170</v>
      </c>
      <c r="C28" s="105" t="s">
        <v>171</v>
      </c>
    </row>
    <row r="29" spans="1:4" x14ac:dyDescent="0.2">
      <c r="C29" s="105" t="s">
        <v>638</v>
      </c>
    </row>
    <row r="30" spans="1:4" x14ac:dyDescent="0.2">
      <c r="C30" s="105" t="s">
        <v>639</v>
      </c>
    </row>
    <row r="32" spans="1:4" x14ac:dyDescent="0.2">
      <c r="A32" s="105" t="s">
        <v>172</v>
      </c>
      <c r="C32" s="105" t="s">
        <v>171</v>
      </c>
    </row>
    <row r="33" spans="1:4" x14ac:dyDescent="0.2">
      <c r="C33" s="105" t="s">
        <v>173</v>
      </c>
    </row>
    <row r="34" spans="1:4" x14ac:dyDescent="0.2">
      <c r="C34" s="105" t="s">
        <v>640</v>
      </c>
    </row>
    <row r="35" spans="1:4" x14ac:dyDescent="0.2">
      <c r="C35" s="105" t="s">
        <v>641</v>
      </c>
    </row>
    <row r="37" spans="1:4" x14ac:dyDescent="0.2">
      <c r="A37" s="105" t="s">
        <v>174</v>
      </c>
      <c r="C37" s="105" t="s">
        <v>175</v>
      </c>
      <c r="D37" s="109"/>
    </row>
    <row r="38" spans="1:4" x14ac:dyDescent="0.2">
      <c r="D38" s="109"/>
    </row>
    <row r="39" spans="1:4" x14ac:dyDescent="0.2">
      <c r="A39" s="105" t="s">
        <v>176</v>
      </c>
      <c r="C39" s="105" t="s">
        <v>175</v>
      </c>
      <c r="D39" s="109"/>
    </row>
    <row r="40" spans="1:4" x14ac:dyDescent="0.2">
      <c r="D40" s="109"/>
    </row>
    <row r="41" spans="1:4" x14ac:dyDescent="0.2">
      <c r="A41" s="105" t="s">
        <v>177</v>
      </c>
      <c r="C41" s="105" t="s">
        <v>175</v>
      </c>
      <c r="D41" s="109"/>
    </row>
    <row r="42" spans="1:4" x14ac:dyDescent="0.2">
      <c r="D42" s="109"/>
    </row>
    <row r="43" spans="1:4" x14ac:dyDescent="0.2">
      <c r="A43" s="105" t="s">
        <v>178</v>
      </c>
      <c r="C43" s="105" t="s">
        <v>175</v>
      </c>
      <c r="D43" s="109"/>
    </row>
    <row r="44" spans="1:4" x14ac:dyDescent="0.2">
      <c r="C44" s="110"/>
    </row>
    <row r="45" spans="1:4" x14ac:dyDescent="0.2">
      <c r="A45" s="105" t="s">
        <v>87</v>
      </c>
      <c r="D45" s="105" t="s">
        <v>167</v>
      </c>
    </row>
    <row r="47" spans="1:4" x14ac:dyDescent="0.2">
      <c r="A47" s="105" t="s">
        <v>89</v>
      </c>
      <c r="D47" s="105" t="s">
        <v>167</v>
      </c>
    </row>
    <row r="48" spans="1:4" x14ac:dyDescent="0.2">
      <c r="B48" s="105" t="s">
        <v>90</v>
      </c>
    </row>
    <row r="50" spans="1:8" x14ac:dyDescent="0.2">
      <c r="A50" s="105" t="s">
        <v>91</v>
      </c>
    </row>
    <row r="51" spans="1:8" x14ac:dyDescent="0.2">
      <c r="B51" s="105" t="s">
        <v>179</v>
      </c>
    </row>
    <row r="52" spans="1:8" x14ac:dyDescent="0.2">
      <c r="B52" s="105" t="s">
        <v>180</v>
      </c>
    </row>
    <row r="53" spans="1:8" x14ac:dyDescent="0.2">
      <c r="B53" s="111" t="s">
        <v>181</v>
      </c>
    </row>
    <row r="54" spans="1:8" x14ac:dyDescent="0.2">
      <c r="B54" s="111"/>
    </row>
    <row r="55" spans="1:8" x14ac:dyDescent="0.2">
      <c r="A55" s="105" t="s">
        <v>111</v>
      </c>
      <c r="C55" s="105" t="s">
        <v>167</v>
      </c>
    </row>
    <row r="56" spans="1:8" x14ac:dyDescent="0.2">
      <c r="C56" s="112"/>
      <c r="D56" s="109"/>
    </row>
    <row r="57" spans="1:8" x14ac:dyDescent="0.2">
      <c r="C57" s="112"/>
      <c r="D57" s="109"/>
    </row>
    <row r="58" spans="1:8" x14ac:dyDescent="0.2">
      <c r="A58" s="105" t="s">
        <v>117</v>
      </c>
      <c r="E58" s="99"/>
      <c r="F58" s="99"/>
      <c r="G58" s="99"/>
      <c r="H58" s="99"/>
    </row>
    <row r="59" spans="1:8" x14ac:dyDescent="0.2">
      <c r="B59" s="105" t="s">
        <v>182</v>
      </c>
      <c r="C59" s="116"/>
      <c r="D59" s="11"/>
      <c r="E59" s="99"/>
      <c r="F59" s="99"/>
      <c r="G59" s="99"/>
      <c r="H59" s="99"/>
    </row>
    <row r="60" spans="1:8" x14ac:dyDescent="0.2">
      <c r="B60" s="116">
        <v>0.89</v>
      </c>
      <c r="C60" s="11" t="s">
        <v>183</v>
      </c>
      <c r="D60" s="11"/>
      <c r="E60" s="99"/>
      <c r="F60" s="99"/>
      <c r="G60" s="99"/>
      <c r="H60" s="99"/>
    </row>
    <row r="61" spans="1:8" x14ac:dyDescent="0.2">
      <c r="C61" s="116"/>
      <c r="D61" s="11"/>
      <c r="E61" s="99"/>
      <c r="F61" s="99"/>
      <c r="G61" s="99"/>
      <c r="H61" s="99"/>
    </row>
    <row r="62" spans="1:8" x14ac:dyDescent="0.2">
      <c r="A62" s="105" t="s">
        <v>127</v>
      </c>
      <c r="C62" s="105" t="s">
        <v>167</v>
      </c>
      <c r="D62" s="112"/>
    </row>
    <row r="63" spans="1:8" x14ac:dyDescent="0.2">
      <c r="D63" s="112"/>
    </row>
    <row r="64" spans="1:8" x14ac:dyDescent="0.2">
      <c r="A64" s="105" t="s">
        <v>132</v>
      </c>
      <c r="C64" s="105" t="s">
        <v>167</v>
      </c>
    </row>
    <row r="65" spans="1:3" x14ac:dyDescent="0.2">
      <c r="C65" s="113"/>
    </row>
    <row r="66" spans="1:3" x14ac:dyDescent="0.2">
      <c r="A66" s="105" t="s">
        <v>134</v>
      </c>
      <c r="C66" s="105" t="s">
        <v>167</v>
      </c>
    </row>
    <row r="67" spans="1:3" x14ac:dyDescent="0.2">
      <c r="C67" s="112"/>
    </row>
    <row r="68" spans="1:3" x14ac:dyDescent="0.2">
      <c r="A68" s="105" t="s">
        <v>184</v>
      </c>
      <c r="B68" s="105" t="s">
        <v>185</v>
      </c>
      <c r="C68" s="112" t="s">
        <v>186</v>
      </c>
    </row>
    <row r="69" spans="1:3" x14ac:dyDescent="0.2">
      <c r="C69" s="112"/>
    </row>
    <row r="70" spans="1:3" x14ac:dyDescent="0.2">
      <c r="A70" s="105" t="s">
        <v>136</v>
      </c>
      <c r="C70" s="105" t="s">
        <v>167</v>
      </c>
    </row>
    <row r="71" spans="1:3" x14ac:dyDescent="0.2">
      <c r="C71" s="112"/>
    </row>
    <row r="72" spans="1:3" x14ac:dyDescent="0.2">
      <c r="A72" s="105" t="s">
        <v>138</v>
      </c>
      <c r="C72" s="105" t="s">
        <v>167</v>
      </c>
    </row>
    <row r="73" spans="1:3" x14ac:dyDescent="0.2">
      <c r="C73" s="112"/>
    </row>
    <row r="74" spans="1:3" x14ac:dyDescent="0.2">
      <c r="A74" s="105" t="s">
        <v>140</v>
      </c>
      <c r="C74" s="105" t="s">
        <v>167</v>
      </c>
    </row>
    <row r="76" spans="1:3" x14ac:dyDescent="0.2">
      <c r="A76" s="105" t="s">
        <v>143</v>
      </c>
      <c r="C76" s="105" t="s">
        <v>167</v>
      </c>
    </row>
    <row r="78" spans="1:3" x14ac:dyDescent="0.2">
      <c r="A78" s="105" t="s">
        <v>145</v>
      </c>
      <c r="C78" s="105" t="s">
        <v>167</v>
      </c>
    </row>
    <row r="79" spans="1:3" x14ac:dyDescent="0.2">
      <c r="C79" s="109"/>
    </row>
    <row r="80" spans="1:3" x14ac:dyDescent="0.2">
      <c r="A80" s="105" t="s">
        <v>66</v>
      </c>
      <c r="C80" s="105" t="s">
        <v>167</v>
      </c>
    </row>
    <row r="81" spans="1:3" x14ac:dyDescent="0.2">
      <c r="C81" s="117"/>
    </row>
    <row r="82" spans="1:3" x14ac:dyDescent="0.2">
      <c r="A82" s="105" t="s">
        <v>152</v>
      </c>
      <c r="C82" s="105" t="s">
        <v>167</v>
      </c>
    </row>
    <row r="84" spans="1:3" x14ac:dyDescent="0.2">
      <c r="A84" s="105" t="s">
        <v>71</v>
      </c>
      <c r="C84" s="105" t="s">
        <v>187</v>
      </c>
    </row>
    <row r="85" spans="1:3" x14ac:dyDescent="0.2">
      <c r="C85" s="105" t="s">
        <v>188</v>
      </c>
    </row>
  </sheetData>
  <pageMargins left="0.5" right="0.5" top="1" bottom="0.7" header="0.5" footer="0.5"/>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85"/>
  <sheetViews>
    <sheetView workbookViewId="0">
      <selection activeCell="A8" sqref="A8"/>
    </sheetView>
  </sheetViews>
  <sheetFormatPr defaultRowHeight="15" x14ac:dyDescent="0.2"/>
  <cols>
    <col min="1" max="1" width="14.85546875" style="105" customWidth="1"/>
    <col min="2" max="2" width="34.28515625" style="105" customWidth="1"/>
    <col min="3" max="3" width="11.7109375" style="105" bestFit="1" customWidth="1"/>
    <col min="4" max="7" width="9.140625" style="105"/>
    <col min="8" max="8" width="24.28515625" style="105" customWidth="1"/>
    <col min="9" max="16384" width="9.140625" style="105"/>
  </cols>
  <sheetData>
    <row r="1" spans="1:256" x14ac:dyDescent="0.2">
      <c r="A1" s="102" t="str">
        <f>General!A1</f>
        <v>FINANCIAL ASSURANCE AMOUNT CALCULATION</v>
      </c>
      <c r="B1" s="102"/>
      <c r="C1" s="102"/>
      <c r="D1" s="102"/>
      <c r="E1" s="102"/>
      <c r="F1" s="102"/>
      <c r="H1" s="106" t="str">
        <f>General!D1</f>
        <v>Questa Mine Site</v>
      </c>
    </row>
    <row r="2" spans="1:256" x14ac:dyDescent="0.2">
      <c r="A2" s="102" t="str">
        <f>General!A2</f>
        <v>Chevron Mining Inc.</v>
      </c>
      <c r="B2" s="102"/>
      <c r="C2" s="102"/>
      <c r="D2" s="102"/>
      <c r="E2" s="102"/>
      <c r="F2" s="102"/>
      <c r="H2" s="106" t="s">
        <v>189</v>
      </c>
    </row>
    <row r="3" spans="1:256" x14ac:dyDescent="0.2">
      <c r="A3" s="4" t="s">
        <v>190</v>
      </c>
      <c r="B3" s="4"/>
      <c r="C3" s="102"/>
      <c r="D3" s="102"/>
      <c r="E3" s="102"/>
      <c r="F3" s="102"/>
      <c r="H3" s="114">
        <f>General!$D$2</f>
        <v>37256</v>
      </c>
    </row>
    <row r="4" spans="1:256" x14ac:dyDescent="0.2">
      <c r="G4" s="115" t="s">
        <v>156</v>
      </c>
      <c r="H4" s="263">
        <v>39193</v>
      </c>
    </row>
    <row r="6" spans="1:256" ht="15.75" x14ac:dyDescent="0.25">
      <c r="A6" s="12" t="s">
        <v>191</v>
      </c>
    </row>
    <row r="7" spans="1:256" x14ac:dyDescent="0.2">
      <c r="A7" s="105" t="s">
        <v>192</v>
      </c>
    </row>
    <row r="8" spans="1:256" x14ac:dyDescent="0.2">
      <c r="A8" s="105" t="s">
        <v>193</v>
      </c>
    </row>
    <row r="10" spans="1:256" x14ac:dyDescent="0.2">
      <c r="A10" s="105" t="s">
        <v>159</v>
      </c>
      <c r="B10" s="105" t="s">
        <v>194</v>
      </c>
      <c r="D10" s="109"/>
    </row>
    <row r="11" spans="1:256" x14ac:dyDescent="0.2">
      <c r="A11" s="10"/>
      <c r="B11" s="10" t="s">
        <v>195</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x14ac:dyDescent="0.2">
      <c r="B13" s="105" t="s">
        <v>196</v>
      </c>
      <c r="D13" s="109"/>
      <c r="G13" s="99"/>
    </row>
    <row r="14" spans="1:256" x14ac:dyDescent="0.2">
      <c r="D14" s="109"/>
    </row>
    <row r="15" spans="1:256" x14ac:dyDescent="0.2">
      <c r="B15" s="105" t="s">
        <v>163</v>
      </c>
      <c r="D15" s="109"/>
    </row>
    <row r="16" spans="1:256" x14ac:dyDescent="0.2">
      <c r="B16" s="105" t="s">
        <v>642</v>
      </c>
      <c r="D16" s="109"/>
    </row>
    <row r="17" spans="1:7" x14ac:dyDescent="0.2">
      <c r="B17" s="105" t="s">
        <v>643</v>
      </c>
      <c r="D17" s="109"/>
    </row>
    <row r="18" spans="1:7" x14ac:dyDescent="0.2">
      <c r="D18" s="109"/>
    </row>
    <row r="19" spans="1:7" x14ac:dyDescent="0.2">
      <c r="B19" s="105" t="s">
        <v>197</v>
      </c>
      <c r="D19" s="109"/>
    </row>
    <row r="20" spans="1:7" x14ac:dyDescent="0.2">
      <c r="B20" s="105" t="s">
        <v>198</v>
      </c>
      <c r="D20" s="109"/>
    </row>
    <row r="21" spans="1:7" x14ac:dyDescent="0.2">
      <c r="D21" s="109"/>
    </row>
    <row r="22" spans="1:7" x14ac:dyDescent="0.2">
      <c r="A22" s="105" t="s">
        <v>77</v>
      </c>
      <c r="C22" s="99" t="s">
        <v>199</v>
      </c>
      <c r="D22" s="118"/>
      <c r="E22" s="99"/>
      <c r="F22" s="99"/>
      <c r="G22" s="99"/>
    </row>
    <row r="23" spans="1:7" x14ac:dyDescent="0.2">
      <c r="C23" s="10" t="s">
        <v>577</v>
      </c>
      <c r="D23" s="109"/>
    </row>
    <row r="24" spans="1:7" x14ac:dyDescent="0.2">
      <c r="D24" s="109"/>
    </row>
    <row r="25" spans="1:7" x14ac:dyDescent="0.2">
      <c r="A25" s="105" t="s">
        <v>79</v>
      </c>
      <c r="C25" s="105" t="s">
        <v>167</v>
      </c>
    </row>
    <row r="27" spans="1:7" x14ac:dyDescent="0.2">
      <c r="A27" s="105" t="s">
        <v>168</v>
      </c>
      <c r="C27" s="105" t="s">
        <v>200</v>
      </c>
    </row>
    <row r="29" spans="1:7" x14ac:dyDescent="0.2">
      <c r="A29" s="105" t="s">
        <v>170</v>
      </c>
      <c r="C29" s="105" t="s">
        <v>171</v>
      </c>
    </row>
    <row r="30" spans="1:7" x14ac:dyDescent="0.2">
      <c r="C30" s="105" t="s">
        <v>638</v>
      </c>
    </row>
    <row r="31" spans="1:7" x14ac:dyDescent="0.2">
      <c r="C31" s="105" t="s">
        <v>644</v>
      </c>
    </row>
    <row r="33" spans="1:4" x14ac:dyDescent="0.2">
      <c r="A33" s="105" t="s">
        <v>172</v>
      </c>
      <c r="C33" s="105" t="s">
        <v>171</v>
      </c>
    </row>
    <row r="34" spans="1:4" x14ac:dyDescent="0.2">
      <c r="C34" s="105" t="s">
        <v>173</v>
      </c>
    </row>
    <row r="35" spans="1:4" x14ac:dyDescent="0.2">
      <c r="C35" s="105" t="s">
        <v>646</v>
      </c>
    </row>
    <row r="36" spans="1:4" x14ac:dyDescent="0.2">
      <c r="C36" s="105" t="s">
        <v>645</v>
      </c>
    </row>
    <row r="38" spans="1:4" x14ac:dyDescent="0.2">
      <c r="A38" s="105" t="s">
        <v>174</v>
      </c>
      <c r="C38" s="105" t="s">
        <v>175</v>
      </c>
      <c r="D38" s="109"/>
    </row>
    <row r="39" spans="1:4" x14ac:dyDescent="0.2">
      <c r="D39" s="109"/>
    </row>
    <row r="40" spans="1:4" x14ac:dyDescent="0.2">
      <c r="A40" s="105" t="s">
        <v>176</v>
      </c>
      <c r="C40" s="105" t="s">
        <v>175</v>
      </c>
      <c r="D40" s="109"/>
    </row>
    <row r="41" spans="1:4" x14ac:dyDescent="0.2">
      <c r="D41" s="109"/>
    </row>
    <row r="42" spans="1:4" x14ac:dyDescent="0.2">
      <c r="A42" s="105" t="s">
        <v>177</v>
      </c>
      <c r="C42" s="105" t="s">
        <v>175</v>
      </c>
      <c r="D42" s="109"/>
    </row>
    <row r="43" spans="1:4" x14ac:dyDescent="0.2">
      <c r="D43" s="109"/>
    </row>
    <row r="44" spans="1:4" x14ac:dyDescent="0.2">
      <c r="A44" s="105" t="s">
        <v>178</v>
      </c>
      <c r="C44" s="105" t="s">
        <v>175</v>
      </c>
      <c r="D44" s="109"/>
    </row>
    <row r="45" spans="1:4" x14ac:dyDescent="0.2">
      <c r="C45" s="110"/>
    </row>
    <row r="46" spans="1:4" x14ac:dyDescent="0.2">
      <c r="A46" s="105" t="s">
        <v>201</v>
      </c>
      <c r="D46" s="105" t="s">
        <v>167</v>
      </c>
    </row>
    <row r="48" spans="1:4" x14ac:dyDescent="0.2">
      <c r="A48" s="105" t="s">
        <v>89</v>
      </c>
      <c r="D48" s="105" t="s">
        <v>167</v>
      </c>
    </row>
    <row r="49" spans="1:8" x14ac:dyDescent="0.2">
      <c r="B49" s="105" t="s">
        <v>90</v>
      </c>
    </row>
    <row r="51" spans="1:8" x14ac:dyDescent="0.2">
      <c r="A51" s="105" t="s">
        <v>91</v>
      </c>
    </row>
    <row r="52" spans="1:8" x14ac:dyDescent="0.2">
      <c r="B52" s="105" t="s">
        <v>179</v>
      </c>
    </row>
    <row r="53" spans="1:8" x14ac:dyDescent="0.2">
      <c r="B53" s="105" t="s">
        <v>202</v>
      </c>
    </row>
    <row r="54" spans="1:8" x14ac:dyDescent="0.2">
      <c r="B54" s="111" t="s">
        <v>203</v>
      </c>
    </row>
    <row r="55" spans="1:8" x14ac:dyDescent="0.2">
      <c r="B55" s="111"/>
    </row>
    <row r="56" spans="1:8" x14ac:dyDescent="0.2">
      <c r="A56" s="105" t="s">
        <v>111</v>
      </c>
      <c r="C56" s="105" t="s">
        <v>204</v>
      </c>
    </row>
    <row r="57" spans="1:8" x14ac:dyDescent="0.2">
      <c r="C57" s="112"/>
      <c r="D57" s="109"/>
    </row>
    <row r="58" spans="1:8" x14ac:dyDescent="0.2">
      <c r="A58" s="105" t="s">
        <v>117</v>
      </c>
      <c r="E58" s="99"/>
      <c r="F58" s="99"/>
      <c r="G58" s="99"/>
      <c r="H58" s="99"/>
    </row>
    <row r="59" spans="1:8" x14ac:dyDescent="0.2">
      <c r="B59" s="105" t="s">
        <v>182</v>
      </c>
      <c r="C59" s="116"/>
      <c r="D59" s="11"/>
      <c r="E59" s="99"/>
      <c r="F59" s="99"/>
      <c r="G59" s="99"/>
      <c r="H59" s="99"/>
    </row>
    <row r="60" spans="1:8" x14ac:dyDescent="0.2">
      <c r="B60" s="116">
        <v>0.89</v>
      </c>
      <c r="C60" s="11" t="s">
        <v>183</v>
      </c>
      <c r="D60" s="11"/>
      <c r="E60" s="99"/>
      <c r="F60" s="99"/>
      <c r="G60" s="99"/>
      <c r="H60" s="99"/>
    </row>
    <row r="61" spans="1:8" x14ac:dyDescent="0.2">
      <c r="C61" s="116"/>
      <c r="D61" s="11"/>
      <c r="E61" s="99"/>
      <c r="F61" s="99"/>
      <c r="G61" s="99"/>
      <c r="H61" s="99"/>
    </row>
    <row r="62" spans="1:8" x14ac:dyDescent="0.2">
      <c r="A62" s="105" t="s">
        <v>127</v>
      </c>
      <c r="C62" s="105" t="s">
        <v>167</v>
      </c>
      <c r="D62" s="112"/>
    </row>
    <row r="63" spans="1:8" x14ac:dyDescent="0.2">
      <c r="D63" s="112"/>
    </row>
    <row r="64" spans="1:8" x14ac:dyDescent="0.2">
      <c r="A64" s="105" t="s">
        <v>132</v>
      </c>
      <c r="C64" s="105" t="s">
        <v>167</v>
      </c>
    </row>
    <row r="65" spans="1:3" x14ac:dyDescent="0.2">
      <c r="C65" s="113"/>
    </row>
    <row r="66" spans="1:3" x14ac:dyDescent="0.2">
      <c r="A66" s="105" t="s">
        <v>134</v>
      </c>
      <c r="C66" s="105" t="s">
        <v>167</v>
      </c>
    </row>
    <row r="67" spans="1:3" x14ac:dyDescent="0.2">
      <c r="C67" s="112"/>
    </row>
    <row r="68" spans="1:3" x14ac:dyDescent="0.2">
      <c r="A68" s="105" t="s">
        <v>184</v>
      </c>
      <c r="B68" s="105" t="s">
        <v>185</v>
      </c>
      <c r="C68" s="112" t="s">
        <v>186</v>
      </c>
    </row>
    <row r="69" spans="1:3" x14ac:dyDescent="0.2">
      <c r="C69" s="112"/>
    </row>
    <row r="70" spans="1:3" x14ac:dyDescent="0.2">
      <c r="A70" s="105" t="s">
        <v>136</v>
      </c>
      <c r="C70" s="105" t="s">
        <v>167</v>
      </c>
    </row>
    <row r="71" spans="1:3" x14ac:dyDescent="0.2">
      <c r="C71" s="112"/>
    </row>
    <row r="72" spans="1:3" x14ac:dyDescent="0.2">
      <c r="A72" s="105" t="s">
        <v>138</v>
      </c>
      <c r="C72" s="105" t="s">
        <v>167</v>
      </c>
    </row>
    <row r="73" spans="1:3" x14ac:dyDescent="0.2">
      <c r="C73" s="112"/>
    </row>
    <row r="74" spans="1:3" x14ac:dyDescent="0.2">
      <c r="A74" s="105" t="s">
        <v>140</v>
      </c>
      <c r="C74" s="105" t="s">
        <v>167</v>
      </c>
    </row>
    <row r="76" spans="1:3" x14ac:dyDescent="0.2">
      <c r="A76" s="105" t="s">
        <v>143</v>
      </c>
      <c r="C76" s="105" t="s">
        <v>167</v>
      </c>
    </row>
    <row r="78" spans="1:3" x14ac:dyDescent="0.2">
      <c r="A78" s="105" t="s">
        <v>145</v>
      </c>
      <c r="C78" s="105" t="s">
        <v>167</v>
      </c>
    </row>
    <row r="79" spans="1:3" x14ac:dyDescent="0.2">
      <c r="C79" s="109"/>
    </row>
    <row r="80" spans="1:3" x14ac:dyDescent="0.2">
      <c r="A80" s="105" t="s">
        <v>66</v>
      </c>
      <c r="C80" s="105" t="s">
        <v>167</v>
      </c>
    </row>
    <row r="81" spans="1:3" x14ac:dyDescent="0.2">
      <c r="C81" s="117"/>
    </row>
    <row r="82" spans="1:3" x14ac:dyDescent="0.2">
      <c r="A82" s="105" t="s">
        <v>152</v>
      </c>
      <c r="C82" s="105" t="s">
        <v>167</v>
      </c>
    </row>
    <row r="84" spans="1:3" x14ac:dyDescent="0.2">
      <c r="A84" s="105" t="s">
        <v>71</v>
      </c>
      <c r="C84" s="105" t="s">
        <v>187</v>
      </c>
    </row>
    <row r="85" spans="1:3" x14ac:dyDescent="0.2">
      <c r="C85" s="105" t="s">
        <v>188</v>
      </c>
    </row>
  </sheetData>
  <pageMargins left="0.38" right="0.25" top="0.63" bottom="1" header="0.5" footer="0.5"/>
  <pageSetup scale="80" orientation="portrait" r:id="rId1"/>
  <rowBreaks count="1" manualBreakCount="1">
    <brk id="57"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86"/>
  <sheetViews>
    <sheetView workbookViewId="0">
      <selection activeCell="G4" sqref="G4"/>
    </sheetView>
  </sheetViews>
  <sheetFormatPr defaultRowHeight="15" x14ac:dyDescent="0.2"/>
  <cols>
    <col min="1" max="1" width="14.85546875" style="105" customWidth="1"/>
    <col min="2" max="2" width="21.7109375" style="105" customWidth="1"/>
    <col min="3" max="3" width="11.7109375" style="105" bestFit="1" customWidth="1"/>
    <col min="4" max="6" width="9.140625" style="105"/>
    <col min="7" max="7" width="27" style="105" customWidth="1"/>
    <col min="8" max="8" width="20.5703125" style="105" customWidth="1"/>
    <col min="9" max="16384" width="9.140625" style="105"/>
  </cols>
  <sheetData>
    <row r="1" spans="1:256" x14ac:dyDescent="0.2">
      <c r="A1" s="102" t="str">
        <f>General!A1</f>
        <v>FINANCIAL ASSURANCE AMOUNT CALCULATION</v>
      </c>
      <c r="B1" s="102"/>
      <c r="C1" s="102"/>
      <c r="D1" s="102"/>
      <c r="E1" s="102"/>
      <c r="F1" s="102"/>
      <c r="H1" s="106" t="str">
        <f>General!D1</f>
        <v>Questa Mine Site</v>
      </c>
    </row>
    <row r="2" spans="1:256" x14ac:dyDescent="0.2">
      <c r="A2" s="102" t="str">
        <f>General!A2</f>
        <v>Chevron Mining Inc.</v>
      </c>
      <c r="B2" s="102"/>
      <c r="C2" s="102"/>
      <c r="D2" s="102"/>
      <c r="E2" s="102"/>
      <c r="F2" s="102"/>
      <c r="H2" s="106" t="s">
        <v>205</v>
      </c>
    </row>
    <row r="3" spans="1:256" x14ac:dyDescent="0.2">
      <c r="A3" s="4" t="s">
        <v>206</v>
      </c>
      <c r="B3" s="4"/>
      <c r="C3" s="102"/>
      <c r="D3" s="102"/>
      <c r="E3" s="102"/>
      <c r="F3" s="102"/>
      <c r="H3" s="114">
        <f>General!$D$2</f>
        <v>37256</v>
      </c>
    </row>
    <row r="4" spans="1:256" x14ac:dyDescent="0.2">
      <c r="G4" s="115" t="s">
        <v>207</v>
      </c>
      <c r="H4" s="263">
        <v>40296</v>
      </c>
    </row>
    <row r="6" spans="1:256" ht="15.75" x14ac:dyDescent="0.25">
      <c r="A6" s="12" t="s">
        <v>191</v>
      </c>
    </row>
    <row r="7" spans="1:256" x14ac:dyDescent="0.2">
      <c r="A7" s="105" t="s">
        <v>208</v>
      </c>
    </row>
    <row r="10" spans="1:256" x14ac:dyDescent="0.2">
      <c r="A10" s="105" t="s">
        <v>159</v>
      </c>
      <c r="B10" s="105" t="s">
        <v>209</v>
      </c>
      <c r="D10" s="109"/>
    </row>
    <row r="11" spans="1:256" x14ac:dyDescent="0.2">
      <c r="A11" s="10"/>
      <c r="B11" s="10" t="s">
        <v>210</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x14ac:dyDescent="0.2">
      <c r="B13" s="105" t="s">
        <v>211</v>
      </c>
      <c r="D13" s="109"/>
      <c r="G13" s="99"/>
    </row>
    <row r="14" spans="1:256" x14ac:dyDescent="0.2">
      <c r="D14" s="109"/>
    </row>
    <row r="15" spans="1:256" x14ac:dyDescent="0.2">
      <c r="B15" s="105" t="s">
        <v>163</v>
      </c>
      <c r="D15" s="109"/>
    </row>
    <row r="16" spans="1:256" x14ac:dyDescent="0.2">
      <c r="B16" s="105" t="s">
        <v>212</v>
      </c>
      <c r="D16" s="109"/>
    </row>
    <row r="17" spans="1:7" x14ac:dyDescent="0.2">
      <c r="B17" s="105" t="s">
        <v>635</v>
      </c>
      <c r="D17" s="109"/>
    </row>
    <row r="18" spans="1:7" x14ac:dyDescent="0.2">
      <c r="D18" s="109"/>
    </row>
    <row r="19" spans="1:7" x14ac:dyDescent="0.2">
      <c r="B19" s="105" t="s">
        <v>197</v>
      </c>
      <c r="D19" s="109"/>
    </row>
    <row r="20" spans="1:7" x14ac:dyDescent="0.2">
      <c r="B20" s="105" t="s">
        <v>214</v>
      </c>
      <c r="D20" s="109"/>
    </row>
    <row r="21" spans="1:7" x14ac:dyDescent="0.2">
      <c r="D21" s="109"/>
    </row>
    <row r="22" spans="1:7" x14ac:dyDescent="0.2">
      <c r="A22" s="105" t="s">
        <v>77</v>
      </c>
      <c r="C22" s="99" t="s">
        <v>215</v>
      </c>
      <c r="D22" s="118"/>
      <c r="E22" s="99"/>
      <c r="F22" s="99"/>
      <c r="G22" s="99"/>
    </row>
    <row r="23" spans="1:7" x14ac:dyDescent="0.2">
      <c r="C23" s="10" t="s">
        <v>216</v>
      </c>
      <c r="D23" s="109"/>
    </row>
    <row r="24" spans="1:7" x14ac:dyDescent="0.2">
      <c r="D24" s="109"/>
    </row>
    <row r="25" spans="1:7" x14ac:dyDescent="0.2">
      <c r="A25" s="105" t="s">
        <v>79</v>
      </c>
      <c r="C25" s="105" t="s">
        <v>167</v>
      </c>
    </row>
    <row r="27" spans="1:7" x14ac:dyDescent="0.2">
      <c r="A27" s="105" t="s">
        <v>168</v>
      </c>
      <c r="C27" s="105" t="s">
        <v>217</v>
      </c>
    </row>
    <row r="28" spans="1:7" x14ac:dyDescent="0.2">
      <c r="C28" s="105" t="s">
        <v>218</v>
      </c>
    </row>
    <row r="30" spans="1:7" x14ac:dyDescent="0.2">
      <c r="A30" s="105" t="s">
        <v>170</v>
      </c>
      <c r="C30" s="105" t="s">
        <v>219</v>
      </c>
    </row>
    <row r="31" spans="1:7" x14ac:dyDescent="0.2">
      <c r="C31" s="105" t="s">
        <v>220</v>
      </c>
    </row>
    <row r="32" spans="1:7" x14ac:dyDescent="0.2">
      <c r="C32" s="105" t="s">
        <v>633</v>
      </c>
    </row>
    <row r="34" spans="1:5" x14ac:dyDescent="0.2">
      <c r="A34" s="105" t="s">
        <v>172</v>
      </c>
      <c r="C34" s="105" t="s">
        <v>219</v>
      </c>
    </row>
    <row r="35" spans="1:5" x14ac:dyDescent="0.2">
      <c r="C35" s="105" t="s">
        <v>221</v>
      </c>
    </row>
    <row r="36" spans="1:5" x14ac:dyDescent="0.2">
      <c r="C36" s="105" t="s">
        <v>222</v>
      </c>
    </row>
    <row r="37" spans="1:5" x14ac:dyDescent="0.2">
      <c r="C37" s="105" t="s">
        <v>634</v>
      </c>
    </row>
    <row r="39" spans="1:5" x14ac:dyDescent="0.2">
      <c r="A39" s="105" t="s">
        <v>174</v>
      </c>
      <c r="C39" s="105" t="s">
        <v>175</v>
      </c>
      <c r="D39" s="109"/>
    </row>
    <row r="40" spans="1:5" x14ac:dyDescent="0.2">
      <c r="D40" s="109"/>
    </row>
    <row r="41" spans="1:5" x14ac:dyDescent="0.2">
      <c r="A41" s="105" t="s">
        <v>176</v>
      </c>
      <c r="C41" s="105" t="s">
        <v>175</v>
      </c>
      <c r="D41" s="109"/>
    </row>
    <row r="42" spans="1:5" x14ac:dyDescent="0.2">
      <c r="D42" s="109"/>
    </row>
    <row r="43" spans="1:5" x14ac:dyDescent="0.2">
      <c r="A43" s="105" t="s">
        <v>177</v>
      </c>
      <c r="C43" s="105" t="s">
        <v>175</v>
      </c>
      <c r="D43" s="109"/>
    </row>
    <row r="44" spans="1:5" x14ac:dyDescent="0.2">
      <c r="D44" s="109"/>
    </row>
    <row r="45" spans="1:5" x14ac:dyDescent="0.2">
      <c r="A45" s="105" t="s">
        <v>178</v>
      </c>
      <c r="C45" s="105" t="s">
        <v>175</v>
      </c>
      <c r="D45" s="109"/>
    </row>
    <row r="46" spans="1:5" x14ac:dyDescent="0.2">
      <c r="C46" s="110"/>
    </row>
    <row r="47" spans="1:5" x14ac:dyDescent="0.2">
      <c r="A47" s="105" t="s">
        <v>201</v>
      </c>
      <c r="E47" s="105" t="s">
        <v>167</v>
      </c>
    </row>
    <row r="49" spans="1:8" x14ac:dyDescent="0.2">
      <c r="A49" s="105" t="s">
        <v>89</v>
      </c>
      <c r="E49" s="105" t="s">
        <v>167</v>
      </c>
    </row>
    <row r="50" spans="1:8" x14ac:dyDescent="0.2">
      <c r="B50" s="105" t="s">
        <v>90</v>
      </c>
    </row>
    <row r="52" spans="1:8" x14ac:dyDescent="0.2">
      <c r="A52" s="105" t="s">
        <v>91</v>
      </c>
    </row>
    <row r="53" spans="1:8" x14ac:dyDescent="0.2">
      <c r="B53" s="105" t="s">
        <v>179</v>
      </c>
    </row>
    <row r="54" spans="1:8" x14ac:dyDescent="0.2">
      <c r="B54" s="105" t="s">
        <v>202</v>
      </c>
    </row>
    <row r="55" spans="1:8" x14ac:dyDescent="0.2">
      <c r="B55" s="111" t="s">
        <v>203</v>
      </c>
    </row>
    <row r="56" spans="1:8" x14ac:dyDescent="0.2">
      <c r="B56" s="111"/>
    </row>
    <row r="57" spans="1:8" x14ac:dyDescent="0.2">
      <c r="A57" s="105" t="s">
        <v>111</v>
      </c>
      <c r="C57" s="105" t="s">
        <v>224</v>
      </c>
    </row>
    <row r="58" spans="1:8" x14ac:dyDescent="0.2">
      <c r="C58" s="112"/>
      <c r="D58" s="109"/>
    </row>
    <row r="59" spans="1:8" x14ac:dyDescent="0.2">
      <c r="A59" s="105" t="s">
        <v>117</v>
      </c>
      <c r="E59" s="99"/>
      <c r="F59" s="99"/>
      <c r="G59" s="99"/>
      <c r="H59" s="99"/>
    </row>
    <row r="60" spans="1:8" x14ac:dyDescent="0.2">
      <c r="B60" s="105" t="s">
        <v>182</v>
      </c>
      <c r="C60" s="116"/>
      <c r="D60" s="11"/>
      <c r="E60" s="99"/>
      <c r="F60" s="99"/>
      <c r="G60" s="99"/>
      <c r="H60" s="99"/>
    </row>
    <row r="61" spans="1:8" x14ac:dyDescent="0.2">
      <c r="C61" s="116">
        <v>0.89900000000000002</v>
      </c>
      <c r="D61" s="11" t="s">
        <v>225</v>
      </c>
      <c r="E61" s="99"/>
      <c r="F61" s="99"/>
      <c r="G61" s="99"/>
      <c r="H61" s="99"/>
    </row>
    <row r="62" spans="1:8" x14ac:dyDescent="0.2">
      <c r="C62" s="116"/>
      <c r="D62" s="11"/>
      <c r="E62" s="99"/>
      <c r="F62" s="99"/>
      <c r="G62" s="99"/>
      <c r="H62" s="99"/>
    </row>
    <row r="63" spans="1:8" x14ac:dyDescent="0.2">
      <c r="A63" s="105" t="s">
        <v>127</v>
      </c>
      <c r="D63" s="105" t="s">
        <v>167</v>
      </c>
    </row>
    <row r="65" spans="1:4" x14ac:dyDescent="0.2">
      <c r="A65" s="105" t="s">
        <v>132</v>
      </c>
      <c r="D65" s="105" t="s">
        <v>167</v>
      </c>
    </row>
    <row r="66" spans="1:4" x14ac:dyDescent="0.2">
      <c r="D66" s="113"/>
    </row>
    <row r="67" spans="1:4" x14ac:dyDescent="0.2">
      <c r="A67" s="105" t="s">
        <v>134</v>
      </c>
      <c r="D67" s="105" t="s">
        <v>167</v>
      </c>
    </row>
    <row r="68" spans="1:4" x14ac:dyDescent="0.2">
      <c r="D68" s="112"/>
    </row>
    <row r="69" spans="1:4" x14ac:dyDescent="0.2">
      <c r="A69" s="105" t="s">
        <v>184</v>
      </c>
      <c r="B69" s="105" t="s">
        <v>185</v>
      </c>
      <c r="D69" s="112" t="s">
        <v>186</v>
      </c>
    </row>
    <row r="70" spans="1:4" x14ac:dyDescent="0.2">
      <c r="D70" s="112"/>
    </row>
    <row r="71" spans="1:4" x14ac:dyDescent="0.2">
      <c r="A71" s="105" t="s">
        <v>136</v>
      </c>
      <c r="D71" s="105" t="s">
        <v>167</v>
      </c>
    </row>
    <row r="72" spans="1:4" x14ac:dyDescent="0.2">
      <c r="D72" s="112"/>
    </row>
    <row r="73" spans="1:4" x14ac:dyDescent="0.2">
      <c r="A73" s="105" t="s">
        <v>138</v>
      </c>
      <c r="D73" s="105" t="s">
        <v>167</v>
      </c>
    </row>
    <row r="74" spans="1:4" x14ac:dyDescent="0.2">
      <c r="D74" s="112"/>
    </row>
    <row r="75" spans="1:4" x14ac:dyDescent="0.2">
      <c r="A75" s="105" t="s">
        <v>140</v>
      </c>
      <c r="D75" s="105" t="s">
        <v>167</v>
      </c>
    </row>
    <row r="77" spans="1:4" x14ac:dyDescent="0.2">
      <c r="A77" s="105" t="s">
        <v>143</v>
      </c>
      <c r="D77" s="105" t="s">
        <v>167</v>
      </c>
    </row>
    <row r="79" spans="1:4" x14ac:dyDescent="0.2">
      <c r="A79" s="105" t="s">
        <v>145</v>
      </c>
      <c r="D79" s="105" t="s">
        <v>167</v>
      </c>
    </row>
    <row r="80" spans="1:4" x14ac:dyDescent="0.2">
      <c r="D80" s="109"/>
    </row>
    <row r="81" spans="1:4" x14ac:dyDescent="0.2">
      <c r="A81" s="105" t="s">
        <v>66</v>
      </c>
      <c r="D81" s="105" t="s">
        <v>167</v>
      </c>
    </row>
    <row r="82" spans="1:4" x14ac:dyDescent="0.2">
      <c r="D82" s="117"/>
    </row>
    <row r="83" spans="1:4" x14ac:dyDescent="0.2">
      <c r="A83" s="105" t="s">
        <v>152</v>
      </c>
      <c r="D83" s="105" t="s">
        <v>167</v>
      </c>
    </row>
    <row r="85" spans="1:4" x14ac:dyDescent="0.2">
      <c r="A85" s="105" t="s">
        <v>71</v>
      </c>
      <c r="D85" s="105" t="s">
        <v>187</v>
      </c>
    </row>
    <row r="86" spans="1:4" x14ac:dyDescent="0.2">
      <c r="D86" s="105" t="s">
        <v>188</v>
      </c>
    </row>
  </sheetData>
  <pageMargins left="0.38" right="0.25" top="0.63" bottom="0.8" header="0.5" footer="0.5"/>
  <pageSetup scale="80" orientation="portrait" r:id="rId1"/>
  <rowBreaks count="1" manualBreakCount="1">
    <brk id="5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92"/>
  <sheetViews>
    <sheetView topLeftCell="A64" workbookViewId="0">
      <selection activeCell="G4" sqref="G4"/>
    </sheetView>
  </sheetViews>
  <sheetFormatPr defaultRowHeight="15" x14ac:dyDescent="0.2"/>
  <cols>
    <col min="1" max="1" width="14.85546875" style="105" customWidth="1"/>
    <col min="2" max="2" width="21.7109375" style="105" customWidth="1"/>
    <col min="3" max="3" width="11.7109375" style="105" bestFit="1" customWidth="1"/>
    <col min="4" max="6" width="9.140625" style="105"/>
    <col min="7" max="7" width="27" style="105" customWidth="1"/>
    <col min="8" max="8" width="22.7109375" style="105" customWidth="1"/>
    <col min="9" max="16384" width="9.140625" style="105"/>
  </cols>
  <sheetData>
    <row r="1" spans="1:256" x14ac:dyDescent="0.2">
      <c r="A1" s="102" t="str">
        <f>General!A1</f>
        <v>FINANCIAL ASSURANCE AMOUNT CALCULATION</v>
      </c>
      <c r="B1" s="102"/>
      <c r="C1" s="102"/>
      <c r="D1" s="102"/>
      <c r="E1" s="102"/>
      <c r="F1" s="102"/>
      <c r="H1" s="106" t="str">
        <f>General!D1</f>
        <v>Questa Mine Site</v>
      </c>
    </row>
    <row r="2" spans="1:256" x14ac:dyDescent="0.2">
      <c r="A2" s="102" t="str">
        <f>General!A2</f>
        <v>Chevron Mining Inc.</v>
      </c>
      <c r="B2" s="102"/>
      <c r="C2" s="102"/>
      <c r="D2" s="102"/>
      <c r="E2" s="102"/>
      <c r="F2" s="102"/>
      <c r="H2" s="106" t="s">
        <v>597</v>
      </c>
    </row>
    <row r="3" spans="1:256" x14ac:dyDescent="0.2">
      <c r="A3" s="262" t="s">
        <v>586</v>
      </c>
      <c r="B3" s="4"/>
      <c r="C3" s="102"/>
      <c r="D3" s="102"/>
      <c r="E3" s="102"/>
      <c r="F3" s="102"/>
      <c r="H3" s="114">
        <f>General!$D$2</f>
        <v>37256</v>
      </c>
    </row>
    <row r="4" spans="1:256" x14ac:dyDescent="0.2">
      <c r="G4" s="115" t="s">
        <v>207</v>
      </c>
      <c r="H4" s="263">
        <f>General!D3</f>
        <v>43419</v>
      </c>
    </row>
    <row r="6" spans="1:256" ht="15.75" x14ac:dyDescent="0.25">
      <c r="A6" s="12" t="s">
        <v>191</v>
      </c>
    </row>
    <row r="7" spans="1:256" x14ac:dyDescent="0.2">
      <c r="A7" s="105" t="s">
        <v>226</v>
      </c>
    </row>
    <row r="10" spans="1:256" x14ac:dyDescent="0.2">
      <c r="A10" s="105" t="s">
        <v>159</v>
      </c>
      <c r="B10" s="13" t="s">
        <v>209</v>
      </c>
      <c r="D10" s="109"/>
    </row>
    <row r="11" spans="1:256" x14ac:dyDescent="0.2">
      <c r="A11" s="10"/>
      <c r="B11" s="10" t="s">
        <v>624</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x14ac:dyDescent="0.2">
      <c r="B13" s="105" t="s">
        <v>211</v>
      </c>
      <c r="D13" s="109"/>
      <c r="G13" s="99"/>
    </row>
    <row r="14" spans="1:256" x14ac:dyDescent="0.2">
      <c r="D14" s="109"/>
    </row>
    <row r="15" spans="1:256" x14ac:dyDescent="0.2">
      <c r="B15" s="105" t="s">
        <v>163</v>
      </c>
      <c r="D15" s="109"/>
    </row>
    <row r="16" spans="1:256" x14ac:dyDescent="0.2">
      <c r="B16" s="105" t="s">
        <v>625</v>
      </c>
      <c r="D16" s="109"/>
    </row>
    <row r="17" spans="1:7" x14ac:dyDescent="0.2">
      <c r="B17" s="105" t="s">
        <v>213</v>
      </c>
      <c r="D17" s="109"/>
    </row>
    <row r="18" spans="1:7" x14ac:dyDescent="0.2">
      <c r="D18" s="109"/>
    </row>
    <row r="19" spans="1:7" x14ac:dyDescent="0.2">
      <c r="B19" s="99" t="s">
        <v>197</v>
      </c>
      <c r="D19" s="109"/>
    </row>
    <row r="20" spans="1:7" x14ac:dyDescent="0.2">
      <c r="B20" s="105" t="s">
        <v>587</v>
      </c>
      <c r="D20" s="109"/>
    </row>
    <row r="21" spans="1:7" x14ac:dyDescent="0.2">
      <c r="D21" s="109"/>
    </row>
    <row r="22" spans="1:7" ht="18" x14ac:dyDescent="0.2">
      <c r="A22" s="105" t="s">
        <v>77</v>
      </c>
      <c r="C22" s="11" t="s">
        <v>626</v>
      </c>
      <c r="D22" s="118"/>
      <c r="E22" s="99"/>
      <c r="F22" s="99"/>
      <c r="G22" s="99"/>
    </row>
    <row r="23" spans="1:7" x14ac:dyDescent="0.2">
      <c r="C23" s="10" t="s">
        <v>216</v>
      </c>
      <c r="D23" s="109"/>
    </row>
    <row r="24" spans="1:7" x14ac:dyDescent="0.2">
      <c r="D24" s="109"/>
    </row>
    <row r="25" spans="1:7" x14ac:dyDescent="0.2">
      <c r="A25" s="105" t="s">
        <v>79</v>
      </c>
      <c r="C25" s="105" t="s">
        <v>167</v>
      </c>
    </row>
    <row r="27" spans="1:7" x14ac:dyDescent="0.2">
      <c r="A27" s="105" t="s">
        <v>168</v>
      </c>
      <c r="C27" s="105" t="s">
        <v>217</v>
      </c>
    </row>
    <row r="28" spans="1:7" x14ac:dyDescent="0.2">
      <c r="C28" s="105" t="s">
        <v>218</v>
      </c>
    </row>
    <row r="30" spans="1:7" x14ac:dyDescent="0.2">
      <c r="A30" s="105" t="s">
        <v>170</v>
      </c>
      <c r="C30" s="105" t="s">
        <v>219</v>
      </c>
    </row>
    <row r="31" spans="1:7" x14ac:dyDescent="0.2">
      <c r="C31" s="105" t="s">
        <v>220</v>
      </c>
    </row>
    <row r="32" spans="1:7" x14ac:dyDescent="0.2">
      <c r="C32" s="105" t="s">
        <v>627</v>
      </c>
    </row>
    <row r="34" spans="1:4" x14ac:dyDescent="0.2">
      <c r="A34" s="105" t="s">
        <v>172</v>
      </c>
      <c r="C34" s="105" t="s">
        <v>219</v>
      </c>
    </row>
    <row r="35" spans="1:4" x14ac:dyDescent="0.2">
      <c r="C35" s="105" t="s">
        <v>221</v>
      </c>
    </row>
    <row r="36" spans="1:4" x14ac:dyDescent="0.2">
      <c r="C36" s="105" t="s">
        <v>222</v>
      </c>
    </row>
    <row r="37" spans="1:4" x14ac:dyDescent="0.2">
      <c r="C37" s="105" t="s">
        <v>223</v>
      </c>
    </row>
    <row r="39" spans="1:4" x14ac:dyDescent="0.2">
      <c r="A39" s="105" t="s">
        <v>174</v>
      </c>
      <c r="C39" s="11" t="s">
        <v>588</v>
      </c>
      <c r="D39" s="109"/>
    </row>
    <row r="40" spans="1:4" x14ac:dyDescent="0.2">
      <c r="C40" s="11" t="s">
        <v>628</v>
      </c>
      <c r="D40" s="109"/>
    </row>
    <row r="41" spans="1:4" x14ac:dyDescent="0.2">
      <c r="C41" s="99"/>
      <c r="D41" s="109"/>
    </row>
    <row r="42" spans="1:4" x14ac:dyDescent="0.2">
      <c r="A42" s="105" t="s">
        <v>176</v>
      </c>
      <c r="C42" s="11" t="s">
        <v>588</v>
      </c>
      <c r="D42" s="109"/>
    </row>
    <row r="43" spans="1:4" x14ac:dyDescent="0.2">
      <c r="C43" s="99"/>
      <c r="D43" s="109"/>
    </row>
    <row r="44" spans="1:4" x14ac:dyDescent="0.2">
      <c r="A44" s="105" t="s">
        <v>603</v>
      </c>
      <c r="C44" s="11" t="s">
        <v>589</v>
      </c>
      <c r="D44" s="109"/>
    </row>
    <row r="45" spans="1:4" x14ac:dyDescent="0.2">
      <c r="C45" s="11" t="s">
        <v>590</v>
      </c>
      <c r="D45" s="109"/>
    </row>
    <row r="46" spans="1:4" x14ac:dyDescent="0.2">
      <c r="C46" s="99"/>
      <c r="D46" s="109"/>
    </row>
    <row r="47" spans="1:4" x14ac:dyDescent="0.2">
      <c r="A47" s="105" t="s">
        <v>177</v>
      </c>
      <c r="C47" s="11" t="s">
        <v>588</v>
      </c>
      <c r="D47" s="109"/>
    </row>
    <row r="48" spans="1:4" x14ac:dyDescent="0.2">
      <c r="C48" s="99"/>
      <c r="D48" s="109"/>
    </row>
    <row r="49" spans="1:5" x14ac:dyDescent="0.2">
      <c r="A49" s="105" t="s">
        <v>178</v>
      </c>
      <c r="C49" s="11" t="s">
        <v>588</v>
      </c>
      <c r="D49" s="109"/>
    </row>
    <row r="50" spans="1:5" x14ac:dyDescent="0.2">
      <c r="C50" s="110"/>
    </row>
    <row r="51" spans="1:5" x14ac:dyDescent="0.2">
      <c r="A51" s="105" t="s">
        <v>201</v>
      </c>
      <c r="E51" s="105" t="s">
        <v>167</v>
      </c>
    </row>
    <row r="53" spans="1:5" x14ac:dyDescent="0.2">
      <c r="A53" s="105" t="s">
        <v>89</v>
      </c>
      <c r="E53" s="105" t="s">
        <v>167</v>
      </c>
    </row>
    <row r="54" spans="1:5" x14ac:dyDescent="0.2">
      <c r="B54" s="105" t="s">
        <v>90</v>
      </c>
    </row>
    <row r="56" spans="1:5" x14ac:dyDescent="0.2">
      <c r="A56" s="105" t="s">
        <v>91</v>
      </c>
    </row>
    <row r="57" spans="1:5" x14ac:dyDescent="0.2">
      <c r="B57" s="13" t="s">
        <v>591</v>
      </c>
    </row>
    <row r="58" spans="1:5" x14ac:dyDescent="0.2">
      <c r="B58" s="16" t="s">
        <v>592</v>
      </c>
    </row>
    <row r="59" spans="1:5" x14ac:dyDescent="0.2">
      <c r="B59" s="14"/>
    </row>
    <row r="60" spans="1:5" x14ac:dyDescent="0.2">
      <c r="A60" s="105" t="s">
        <v>111</v>
      </c>
      <c r="C60" s="105" t="s">
        <v>224</v>
      </c>
    </row>
    <row r="62" spans="1:5" x14ac:dyDescent="0.2">
      <c r="A62" s="13" t="s">
        <v>227</v>
      </c>
      <c r="C62" s="13" t="s">
        <v>228</v>
      </c>
    </row>
    <row r="63" spans="1:5" x14ac:dyDescent="0.2">
      <c r="C63" s="15" t="s">
        <v>229</v>
      </c>
      <c r="D63" s="109"/>
    </row>
    <row r="64" spans="1:5" x14ac:dyDescent="0.2">
      <c r="C64" s="15"/>
      <c r="D64" s="109"/>
    </row>
    <row r="65" spans="1:8" x14ac:dyDescent="0.2">
      <c r="A65" s="105" t="s">
        <v>117</v>
      </c>
      <c r="E65" s="99"/>
      <c r="F65" s="99"/>
      <c r="G65" s="99"/>
      <c r="H65" s="99"/>
    </row>
    <row r="66" spans="1:8" x14ac:dyDescent="0.2">
      <c r="B66" s="105" t="s">
        <v>182</v>
      </c>
      <c r="C66" s="116"/>
      <c r="D66" s="11"/>
      <c r="E66" s="99"/>
      <c r="F66" s="99"/>
      <c r="G66" s="99"/>
      <c r="H66" s="99"/>
    </row>
    <row r="67" spans="1:8" x14ac:dyDescent="0.2">
      <c r="C67" s="116">
        <v>0.88900000000000001</v>
      </c>
      <c r="D67" s="11" t="s">
        <v>579</v>
      </c>
      <c r="E67" s="99"/>
      <c r="F67" s="99"/>
      <c r="G67" s="99"/>
      <c r="H67" s="99"/>
    </row>
    <row r="68" spans="1:8" x14ac:dyDescent="0.2">
      <c r="C68" s="116"/>
      <c r="D68" s="11"/>
      <c r="E68" s="99"/>
      <c r="F68" s="99"/>
      <c r="G68" s="99"/>
      <c r="H68" s="99"/>
    </row>
    <row r="69" spans="1:8" x14ac:dyDescent="0.2">
      <c r="A69" s="105" t="s">
        <v>127</v>
      </c>
      <c r="D69" s="105" t="s">
        <v>167</v>
      </c>
    </row>
    <row r="71" spans="1:8" x14ac:dyDescent="0.2">
      <c r="A71" s="105" t="s">
        <v>132</v>
      </c>
      <c r="D71" s="105" t="s">
        <v>167</v>
      </c>
    </row>
    <row r="72" spans="1:8" x14ac:dyDescent="0.2">
      <c r="D72" s="113"/>
    </row>
    <row r="73" spans="1:8" x14ac:dyDescent="0.2">
      <c r="A73" s="105" t="s">
        <v>134</v>
      </c>
      <c r="D73" s="105" t="s">
        <v>167</v>
      </c>
    </row>
    <row r="74" spans="1:8" x14ac:dyDescent="0.2">
      <c r="D74" s="112"/>
    </row>
    <row r="75" spans="1:8" x14ac:dyDescent="0.2">
      <c r="A75" s="105" t="s">
        <v>184</v>
      </c>
      <c r="B75" s="105" t="s">
        <v>185</v>
      </c>
      <c r="D75" s="112" t="s">
        <v>186</v>
      </c>
    </row>
    <row r="76" spans="1:8" x14ac:dyDescent="0.2">
      <c r="D76" s="112"/>
    </row>
    <row r="77" spans="1:8" x14ac:dyDescent="0.2">
      <c r="A77" s="105" t="s">
        <v>136</v>
      </c>
      <c r="D77" s="105" t="s">
        <v>167</v>
      </c>
    </row>
    <row r="78" spans="1:8" x14ac:dyDescent="0.2">
      <c r="D78" s="112"/>
    </row>
    <row r="79" spans="1:8" x14ac:dyDescent="0.2">
      <c r="A79" s="105" t="s">
        <v>138</v>
      </c>
      <c r="D79" s="105" t="s">
        <v>167</v>
      </c>
    </row>
    <row r="80" spans="1:8" x14ac:dyDescent="0.2">
      <c r="D80" s="112"/>
    </row>
    <row r="81" spans="1:4" x14ac:dyDescent="0.2">
      <c r="A81" s="105" t="s">
        <v>140</v>
      </c>
      <c r="D81" s="105" t="s">
        <v>167</v>
      </c>
    </row>
    <row r="83" spans="1:4" x14ac:dyDescent="0.2">
      <c r="A83" s="105" t="s">
        <v>143</v>
      </c>
      <c r="D83" s="105" t="s">
        <v>167</v>
      </c>
    </row>
    <row r="85" spans="1:4" x14ac:dyDescent="0.2">
      <c r="A85" s="105" t="s">
        <v>145</v>
      </c>
      <c r="D85" s="105" t="s">
        <v>167</v>
      </c>
    </row>
    <row r="86" spans="1:4" x14ac:dyDescent="0.2">
      <c r="D86" s="109"/>
    </row>
    <row r="87" spans="1:4" x14ac:dyDescent="0.2">
      <c r="A87" s="105" t="s">
        <v>66</v>
      </c>
      <c r="D87" s="105" t="s">
        <v>167</v>
      </c>
    </row>
    <row r="88" spans="1:4" x14ac:dyDescent="0.2">
      <c r="D88" s="117"/>
    </row>
    <row r="89" spans="1:4" x14ac:dyDescent="0.2">
      <c r="A89" s="105" t="s">
        <v>152</v>
      </c>
      <c r="D89" s="105" t="s">
        <v>167</v>
      </c>
    </row>
    <row r="91" spans="1:4" x14ac:dyDescent="0.2">
      <c r="A91" s="105" t="s">
        <v>71</v>
      </c>
      <c r="D91" s="99" t="s">
        <v>596</v>
      </c>
    </row>
    <row r="92" spans="1:4" x14ac:dyDescent="0.2">
      <c r="D92" s="105" t="s">
        <v>188</v>
      </c>
    </row>
  </sheetData>
  <pageMargins left="0.38" right="0.25" top="0.63" bottom="0.8" header="0.5" footer="0.5"/>
  <pageSetup scale="70" orientation="portrait" r:id="rId1"/>
  <rowBreaks count="1" manualBreakCount="1">
    <brk id="61" max="7" man="1"/>
  </rowBreaks>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IH120"/>
  <sheetViews>
    <sheetView workbookViewId="0">
      <selection activeCell="H4" sqref="H4"/>
    </sheetView>
  </sheetViews>
  <sheetFormatPr defaultRowHeight="15" x14ac:dyDescent="0.2"/>
  <cols>
    <col min="1" max="1" width="14.85546875" style="105" customWidth="1"/>
    <col min="2" max="2" width="21.7109375" style="105" customWidth="1"/>
    <col min="3" max="3" width="11.7109375" style="105" bestFit="1" customWidth="1"/>
    <col min="4" max="6" width="9.140625" style="105"/>
    <col min="7" max="7" width="27" style="105" customWidth="1"/>
    <col min="8" max="8" width="22.7109375" style="105" customWidth="1"/>
    <col min="9" max="16384" width="9.140625" style="105"/>
  </cols>
  <sheetData>
    <row r="1" spans="1:13" x14ac:dyDescent="0.2">
      <c r="A1" s="244" t="str">
        <f>General!A1</f>
        <v>FINANCIAL ASSURANCE AMOUNT CALCULATION</v>
      </c>
      <c r="B1" s="244"/>
      <c r="C1" s="244"/>
      <c r="D1" s="244"/>
      <c r="E1" s="244"/>
      <c r="F1" s="244"/>
      <c r="G1" s="99"/>
      <c r="H1" s="252" t="str">
        <f>General!D1</f>
        <v>Questa Mine Site</v>
      </c>
      <c r="I1" s="99"/>
      <c r="J1" s="99"/>
      <c r="K1" s="99"/>
      <c r="L1" s="99"/>
      <c r="M1" s="99"/>
    </row>
    <row r="2" spans="1:13" x14ac:dyDescent="0.2">
      <c r="A2" s="244" t="str">
        <f>General!A2</f>
        <v>Chevron Mining Inc.</v>
      </c>
      <c r="B2" s="244"/>
      <c r="C2" s="244"/>
      <c r="D2" s="244"/>
      <c r="E2" s="244"/>
      <c r="F2" s="244"/>
      <c r="G2" s="99"/>
      <c r="H2" s="252" t="s">
        <v>795</v>
      </c>
      <c r="I2" s="99"/>
    </row>
    <row r="3" spans="1:13" x14ac:dyDescent="0.2">
      <c r="A3" s="262" t="s">
        <v>851</v>
      </c>
      <c r="B3" s="262"/>
      <c r="C3" s="244"/>
      <c r="D3" s="244"/>
      <c r="E3" s="244"/>
      <c r="F3" s="244"/>
      <c r="G3" s="99"/>
      <c r="H3" s="377">
        <f>General!$D$2</f>
        <v>37256</v>
      </c>
      <c r="I3" s="99"/>
    </row>
    <row r="4" spans="1:13" x14ac:dyDescent="0.2">
      <c r="A4" s="99"/>
      <c r="B4" s="99"/>
      <c r="C4" s="99"/>
      <c r="D4" s="99"/>
      <c r="E4" s="99"/>
      <c r="F4" s="99"/>
      <c r="G4" s="98" t="s">
        <v>963</v>
      </c>
      <c r="H4" s="378">
        <f>General!D3</f>
        <v>43419</v>
      </c>
      <c r="I4" s="99"/>
    </row>
    <row r="5" spans="1:13" x14ac:dyDescent="0.2">
      <c r="A5" s="99"/>
      <c r="B5" s="99"/>
      <c r="C5" s="99"/>
      <c r="D5" s="99"/>
      <c r="E5" s="99"/>
      <c r="F5" s="99"/>
      <c r="G5" s="99"/>
      <c r="H5" s="99"/>
      <c r="I5" s="99"/>
    </row>
    <row r="6" spans="1:13" ht="15.75" x14ac:dyDescent="0.25">
      <c r="A6" s="336" t="s">
        <v>191</v>
      </c>
      <c r="B6" s="99"/>
      <c r="C6" s="99"/>
      <c r="D6" s="99"/>
      <c r="E6" s="99"/>
      <c r="F6" s="99"/>
      <c r="G6" s="99"/>
      <c r="H6" s="99"/>
      <c r="I6" s="99"/>
    </row>
    <row r="7" spans="1:13" x14ac:dyDescent="0.2">
      <c r="A7" s="99" t="s">
        <v>852</v>
      </c>
      <c r="B7" s="99"/>
      <c r="C7" s="99"/>
      <c r="D7" s="99"/>
      <c r="E7" s="99"/>
      <c r="F7" s="99"/>
      <c r="G7" s="99"/>
      <c r="H7" s="99"/>
      <c r="I7" s="99"/>
    </row>
    <row r="8" spans="1:13" x14ac:dyDescent="0.2">
      <c r="A8" s="99" t="s">
        <v>796</v>
      </c>
      <c r="B8" s="99"/>
      <c r="C8" s="99"/>
      <c r="D8" s="99"/>
      <c r="E8" s="99"/>
      <c r="F8" s="99"/>
      <c r="G8" s="99"/>
      <c r="H8" s="99"/>
      <c r="I8" s="99"/>
    </row>
    <row r="9" spans="1:13" x14ac:dyDescent="0.2">
      <c r="A9" s="99" t="s">
        <v>972</v>
      </c>
      <c r="B9" s="99"/>
      <c r="C9" s="99"/>
      <c r="D9" s="99"/>
      <c r="E9" s="99"/>
      <c r="F9" s="99"/>
      <c r="G9" s="99"/>
      <c r="H9" s="99"/>
      <c r="I9" s="99"/>
    </row>
    <row r="10" spans="1:13" x14ac:dyDescent="0.2">
      <c r="A10" s="99" t="s">
        <v>973</v>
      </c>
      <c r="B10" s="99"/>
      <c r="C10" s="99"/>
      <c r="D10" s="99"/>
      <c r="E10" s="99"/>
      <c r="F10" s="99"/>
      <c r="G10" s="99"/>
      <c r="H10" s="99"/>
      <c r="I10" s="99"/>
    </row>
    <row r="11" spans="1:13" x14ac:dyDescent="0.2">
      <c r="A11" s="99"/>
      <c r="B11" s="99"/>
      <c r="C11" s="99"/>
      <c r="D11" s="99"/>
      <c r="E11" s="99"/>
      <c r="F11" s="99"/>
      <c r="G11" s="99"/>
      <c r="H11" s="99"/>
      <c r="I11" s="99"/>
    </row>
    <row r="12" spans="1:13" ht="15.75" x14ac:dyDescent="0.25">
      <c r="A12" s="337" t="s">
        <v>797</v>
      </c>
      <c r="B12" s="99"/>
      <c r="C12" s="99"/>
      <c r="D12" s="99"/>
      <c r="E12" s="99"/>
      <c r="F12" s="99"/>
      <c r="G12" s="99"/>
      <c r="H12" s="99"/>
      <c r="I12" s="99"/>
    </row>
    <row r="13" spans="1:13" x14ac:dyDescent="0.2">
      <c r="A13" s="99" t="s">
        <v>876</v>
      </c>
      <c r="B13" s="99"/>
      <c r="C13" s="99"/>
      <c r="D13" s="99"/>
      <c r="E13" s="99"/>
      <c r="F13" s="99"/>
      <c r="G13" s="99"/>
      <c r="H13" s="99"/>
      <c r="I13" s="99"/>
    </row>
    <row r="14" spans="1:13" x14ac:dyDescent="0.2">
      <c r="A14" s="99"/>
      <c r="B14" s="99" t="s">
        <v>875</v>
      </c>
      <c r="C14" s="99"/>
      <c r="D14" s="99"/>
      <c r="E14" s="99"/>
      <c r="F14" s="99"/>
      <c r="G14" s="99"/>
      <c r="H14" s="99"/>
      <c r="I14" s="99"/>
    </row>
    <row r="15" spans="1:13" x14ac:dyDescent="0.2">
      <c r="A15" s="99"/>
      <c r="B15" s="99" t="s">
        <v>873</v>
      </c>
      <c r="C15" s="99"/>
      <c r="D15" s="99"/>
      <c r="E15" s="99"/>
      <c r="F15" s="99"/>
      <c r="G15" s="99"/>
      <c r="H15" s="99"/>
      <c r="I15" s="99"/>
    </row>
    <row r="16" spans="1:13" x14ac:dyDescent="0.2">
      <c r="A16" s="99"/>
      <c r="B16" s="99"/>
      <c r="C16" s="99"/>
      <c r="D16" s="99"/>
      <c r="E16" s="99"/>
      <c r="F16" s="99"/>
      <c r="G16" s="99"/>
      <c r="H16" s="99"/>
      <c r="I16" s="99"/>
    </row>
    <row r="17" spans="1:9" x14ac:dyDescent="0.2">
      <c r="A17" s="99" t="s">
        <v>877</v>
      </c>
      <c r="B17" s="99"/>
      <c r="C17" s="99"/>
      <c r="D17" s="99"/>
      <c r="E17" s="99"/>
      <c r="F17" s="99"/>
      <c r="G17" s="99"/>
      <c r="H17" s="99"/>
      <c r="I17" s="99"/>
    </row>
    <row r="18" spans="1:9" x14ac:dyDescent="0.2">
      <c r="A18" s="99"/>
      <c r="B18" s="99" t="s">
        <v>879</v>
      </c>
      <c r="C18" s="99"/>
      <c r="D18" s="99"/>
      <c r="E18" s="99"/>
      <c r="F18" s="99"/>
      <c r="G18" s="99"/>
      <c r="H18" s="99"/>
      <c r="I18" s="99"/>
    </row>
    <row r="19" spans="1:9" x14ac:dyDescent="0.2">
      <c r="A19" s="99"/>
      <c r="B19" s="379" t="s">
        <v>878</v>
      </c>
      <c r="C19" s="99"/>
      <c r="D19" s="99"/>
      <c r="E19" s="99"/>
      <c r="F19" s="99"/>
      <c r="G19" s="99"/>
      <c r="H19" s="99"/>
      <c r="I19" s="99"/>
    </row>
    <row r="20" spans="1:9" x14ac:dyDescent="0.2">
      <c r="A20" s="99"/>
      <c r="B20" s="99"/>
      <c r="C20" s="99"/>
      <c r="D20" s="99"/>
      <c r="E20" s="99"/>
      <c r="F20" s="99"/>
      <c r="G20" s="99"/>
      <c r="H20" s="99"/>
      <c r="I20" s="99"/>
    </row>
    <row r="21" spans="1:9" x14ac:dyDescent="0.2">
      <c r="A21" s="99" t="s">
        <v>77</v>
      </c>
      <c r="B21" s="99"/>
      <c r="C21" s="99"/>
      <c r="D21" s="99"/>
      <c r="E21" s="99"/>
      <c r="F21" s="99"/>
      <c r="G21" s="99"/>
      <c r="H21" s="99"/>
      <c r="I21" s="99"/>
    </row>
    <row r="22" spans="1:9" x14ac:dyDescent="0.2">
      <c r="A22" s="99"/>
      <c r="B22" s="99" t="s">
        <v>874</v>
      </c>
      <c r="C22" s="99"/>
      <c r="D22" s="99"/>
      <c r="E22" s="99"/>
      <c r="F22" s="99"/>
      <c r="G22" s="99"/>
      <c r="H22" s="99"/>
      <c r="I22" s="99"/>
    </row>
    <row r="23" spans="1:9" x14ac:dyDescent="0.2">
      <c r="A23" s="99"/>
      <c r="B23" s="99" t="s">
        <v>216</v>
      </c>
      <c r="C23" s="99"/>
      <c r="D23" s="99"/>
      <c r="E23" s="99"/>
      <c r="F23" s="99"/>
      <c r="G23" s="99"/>
      <c r="H23" s="99"/>
      <c r="I23" s="99"/>
    </row>
    <row r="24" spans="1:9" ht="15.75" x14ac:dyDescent="0.25">
      <c r="A24" s="337"/>
      <c r="B24" s="99"/>
      <c r="C24" s="99"/>
      <c r="D24" s="99"/>
      <c r="E24" s="99"/>
      <c r="F24" s="99"/>
      <c r="G24" s="99"/>
      <c r="H24" s="99"/>
      <c r="I24" s="99"/>
    </row>
    <row r="25" spans="1:9" x14ac:dyDescent="0.2">
      <c r="A25" s="99" t="s">
        <v>231</v>
      </c>
      <c r="B25" s="99"/>
      <c r="C25" s="99"/>
      <c r="D25" s="99"/>
      <c r="E25" s="99"/>
      <c r="F25" s="99"/>
      <c r="G25" s="99"/>
      <c r="H25" s="99"/>
      <c r="I25" s="99"/>
    </row>
    <row r="26" spans="1:9" x14ac:dyDescent="0.2">
      <c r="A26" s="99"/>
      <c r="B26" s="99" t="s">
        <v>942</v>
      </c>
      <c r="C26" s="99"/>
      <c r="D26" s="99"/>
      <c r="E26" s="99"/>
      <c r="F26" s="99"/>
      <c r="G26" s="99"/>
      <c r="H26" s="99"/>
      <c r="I26" s="99"/>
    </row>
    <row r="27" spans="1:9" x14ac:dyDescent="0.2">
      <c r="A27" s="99"/>
      <c r="B27" s="99"/>
      <c r="C27" s="99"/>
      <c r="D27" s="99"/>
      <c r="E27" s="99"/>
      <c r="F27" s="99"/>
      <c r="G27" s="99"/>
      <c r="H27" s="99"/>
      <c r="I27" s="99"/>
    </row>
    <row r="28" spans="1:9" x14ac:dyDescent="0.2">
      <c r="A28" s="99" t="s">
        <v>798</v>
      </c>
      <c r="B28" s="99"/>
      <c r="C28" s="99"/>
      <c r="D28" s="99"/>
      <c r="E28" s="99"/>
      <c r="F28" s="99"/>
      <c r="G28" s="99"/>
      <c r="H28" s="99"/>
      <c r="I28" s="99"/>
    </row>
    <row r="29" spans="1:9" x14ac:dyDescent="0.2">
      <c r="A29" s="99"/>
      <c r="B29" s="99" t="s">
        <v>823</v>
      </c>
      <c r="C29" s="99"/>
      <c r="D29" s="99"/>
      <c r="E29" s="99"/>
      <c r="F29" s="99"/>
      <c r="G29" s="99"/>
      <c r="H29" s="99"/>
      <c r="I29" s="99"/>
    </row>
    <row r="30" spans="1:9" x14ac:dyDescent="0.2">
      <c r="A30" s="99"/>
      <c r="B30" s="99" t="s">
        <v>803</v>
      </c>
      <c r="C30" s="99"/>
      <c r="D30" s="99"/>
      <c r="E30" s="99"/>
      <c r="F30" s="99"/>
      <c r="G30" s="99"/>
      <c r="H30" s="99"/>
      <c r="I30" s="99"/>
    </row>
    <row r="31" spans="1:9" x14ac:dyDescent="0.2">
      <c r="A31" s="99"/>
      <c r="B31" s="99" t="s">
        <v>824</v>
      </c>
      <c r="C31" s="99"/>
      <c r="D31" s="99"/>
      <c r="E31" s="99"/>
      <c r="F31" s="99"/>
      <c r="G31" s="99"/>
      <c r="H31" s="99"/>
      <c r="I31" s="99"/>
    </row>
    <row r="32" spans="1:9" x14ac:dyDescent="0.2">
      <c r="A32" s="99"/>
      <c r="B32" s="99" t="s">
        <v>799</v>
      </c>
      <c r="C32" s="99"/>
      <c r="D32" s="99"/>
      <c r="E32" s="99"/>
      <c r="F32" s="99"/>
      <c r="G32" s="99"/>
      <c r="H32" s="99"/>
      <c r="I32" s="99"/>
    </row>
    <row r="33" spans="1:9" x14ac:dyDescent="0.2">
      <c r="A33" s="99"/>
      <c r="B33" s="99"/>
      <c r="C33" s="99"/>
      <c r="D33" s="99"/>
      <c r="E33" s="99"/>
      <c r="F33" s="99"/>
      <c r="G33" s="99"/>
      <c r="H33" s="99"/>
      <c r="I33" s="99"/>
    </row>
    <row r="34" spans="1:9" x14ac:dyDescent="0.2">
      <c r="A34" s="99" t="s">
        <v>800</v>
      </c>
      <c r="B34" s="99"/>
      <c r="C34" s="99"/>
      <c r="D34" s="99"/>
      <c r="E34" s="99"/>
      <c r="F34" s="99"/>
      <c r="G34" s="99"/>
      <c r="H34" s="99"/>
      <c r="I34" s="99"/>
    </row>
    <row r="35" spans="1:9" x14ac:dyDescent="0.2">
      <c r="A35" s="99"/>
      <c r="B35" s="99" t="s">
        <v>844</v>
      </c>
      <c r="C35" s="99"/>
      <c r="D35" s="99"/>
      <c r="E35" s="99"/>
      <c r="F35" s="99"/>
      <c r="G35" s="99"/>
      <c r="H35" s="99"/>
      <c r="I35" s="99"/>
    </row>
    <row r="36" spans="1:9" x14ac:dyDescent="0.2">
      <c r="A36" s="99"/>
      <c r="B36" s="99"/>
      <c r="C36" s="99"/>
      <c r="D36" s="99"/>
      <c r="E36" s="99"/>
      <c r="F36" s="99"/>
      <c r="G36" s="99"/>
      <c r="H36" s="99"/>
      <c r="I36" s="99"/>
    </row>
    <row r="37" spans="1:9" x14ac:dyDescent="0.2">
      <c r="A37" s="99" t="s">
        <v>801</v>
      </c>
      <c r="B37" s="99"/>
      <c r="C37" s="99"/>
      <c r="D37" s="99"/>
      <c r="E37" s="99"/>
      <c r="F37" s="99"/>
      <c r="G37" s="99"/>
      <c r="H37" s="99"/>
      <c r="I37" s="99"/>
    </row>
    <row r="38" spans="1:9" x14ac:dyDescent="0.2">
      <c r="A38" s="99"/>
      <c r="B38" s="99" t="s">
        <v>936</v>
      </c>
      <c r="C38" s="99"/>
      <c r="D38" s="99"/>
      <c r="E38" s="99"/>
      <c r="F38" s="99"/>
      <c r="G38" s="99"/>
      <c r="H38" s="99"/>
      <c r="I38" s="99"/>
    </row>
    <row r="39" spans="1:9" x14ac:dyDescent="0.2">
      <c r="A39" s="99"/>
      <c r="B39" s="99" t="s">
        <v>845</v>
      </c>
      <c r="C39" s="99"/>
      <c r="D39" s="99"/>
      <c r="E39" s="99"/>
      <c r="F39" s="99"/>
      <c r="G39" s="99"/>
      <c r="H39" s="99"/>
      <c r="I39" s="99"/>
    </row>
    <row r="40" spans="1:9" x14ac:dyDescent="0.2">
      <c r="A40" s="99"/>
      <c r="B40" s="99" t="s">
        <v>846</v>
      </c>
      <c r="C40" s="99"/>
      <c r="D40" s="99"/>
      <c r="E40" s="99"/>
      <c r="F40" s="99"/>
      <c r="G40" s="99"/>
      <c r="H40" s="99"/>
      <c r="I40" s="99"/>
    </row>
    <row r="41" spans="1:9" x14ac:dyDescent="0.2">
      <c r="A41" s="99"/>
      <c r="B41" s="99"/>
      <c r="C41" s="99"/>
      <c r="D41" s="99"/>
      <c r="E41" s="99"/>
      <c r="F41" s="99"/>
      <c r="G41" s="99"/>
      <c r="H41" s="99"/>
      <c r="I41" s="99"/>
    </row>
    <row r="42" spans="1:9" x14ac:dyDescent="0.2">
      <c r="A42" s="99" t="s">
        <v>346</v>
      </c>
      <c r="B42" s="99"/>
      <c r="C42" s="99"/>
      <c r="D42" s="99"/>
      <c r="E42" s="99"/>
      <c r="F42" s="99"/>
      <c r="G42" s="99"/>
      <c r="H42" s="99"/>
      <c r="I42" s="99"/>
    </row>
    <row r="43" spans="1:9" x14ac:dyDescent="0.2">
      <c r="A43" s="99"/>
      <c r="B43" s="99" t="s">
        <v>802</v>
      </c>
      <c r="C43" s="99"/>
      <c r="D43" s="99"/>
      <c r="E43" s="99"/>
      <c r="F43" s="99"/>
      <c r="G43" s="99"/>
      <c r="H43" s="99"/>
      <c r="I43" s="99"/>
    </row>
    <row r="44" spans="1:9" x14ac:dyDescent="0.2">
      <c r="A44" s="99"/>
      <c r="B44" s="99" t="s">
        <v>825</v>
      </c>
      <c r="C44" s="99"/>
      <c r="D44" s="99"/>
      <c r="E44" s="99"/>
      <c r="F44" s="99"/>
      <c r="G44" s="99"/>
      <c r="H44" s="99"/>
      <c r="I44" s="99"/>
    </row>
    <row r="45" spans="1:9" x14ac:dyDescent="0.2">
      <c r="A45" s="99"/>
      <c r="B45" s="99"/>
      <c r="C45" s="99"/>
      <c r="D45" s="99"/>
      <c r="E45" s="99"/>
      <c r="F45" s="99"/>
      <c r="G45" s="99"/>
      <c r="H45" s="99"/>
      <c r="I45" s="99"/>
    </row>
    <row r="46" spans="1:9" x14ac:dyDescent="0.2">
      <c r="A46" s="99" t="s">
        <v>360</v>
      </c>
      <c r="B46" s="99"/>
      <c r="C46" s="99"/>
      <c r="D46" s="99"/>
      <c r="E46" s="99"/>
      <c r="F46" s="99"/>
      <c r="G46" s="99"/>
      <c r="H46" s="99"/>
      <c r="I46" s="99"/>
    </row>
    <row r="47" spans="1:9" x14ac:dyDescent="0.2">
      <c r="A47" s="99"/>
      <c r="B47" s="99" t="s">
        <v>804</v>
      </c>
      <c r="C47" s="99"/>
      <c r="D47" s="99"/>
      <c r="E47" s="99"/>
      <c r="F47" s="99"/>
      <c r="G47" s="99"/>
      <c r="H47" s="99"/>
      <c r="I47" s="99"/>
    </row>
    <row r="48" spans="1:9" x14ac:dyDescent="0.2">
      <c r="A48" s="99"/>
      <c r="B48" s="99" t="s">
        <v>826</v>
      </c>
      <c r="C48" s="99"/>
      <c r="D48" s="99"/>
      <c r="E48" s="99"/>
      <c r="F48" s="99"/>
      <c r="G48" s="99"/>
      <c r="H48" s="99"/>
      <c r="I48" s="99"/>
    </row>
    <row r="49" spans="1:9" x14ac:dyDescent="0.2">
      <c r="A49" s="99"/>
      <c r="B49" s="99" t="s">
        <v>805</v>
      </c>
      <c r="C49" s="99"/>
      <c r="D49" s="99"/>
      <c r="E49" s="99"/>
      <c r="F49" s="99"/>
      <c r="G49" s="99"/>
      <c r="H49" s="99"/>
      <c r="I49" s="99"/>
    </row>
    <row r="50" spans="1:9" x14ac:dyDescent="0.2">
      <c r="A50" s="99"/>
      <c r="B50" s="99"/>
      <c r="C50" s="99"/>
      <c r="D50" s="99"/>
      <c r="E50" s="99"/>
      <c r="F50" s="99"/>
      <c r="G50" s="99"/>
      <c r="H50" s="99"/>
      <c r="I50" s="99"/>
    </row>
    <row r="51" spans="1:9" x14ac:dyDescent="0.2">
      <c r="A51" s="99" t="s">
        <v>389</v>
      </c>
      <c r="B51" s="99"/>
      <c r="C51" s="99"/>
      <c r="D51" s="99"/>
      <c r="E51" s="99"/>
      <c r="F51" s="99"/>
      <c r="G51" s="99"/>
      <c r="H51" s="99"/>
      <c r="I51" s="99"/>
    </row>
    <row r="52" spans="1:9" x14ac:dyDescent="0.2">
      <c r="A52" s="99"/>
      <c r="B52" s="99" t="s">
        <v>806</v>
      </c>
      <c r="C52" s="99"/>
      <c r="D52" s="99"/>
      <c r="E52" s="99"/>
      <c r="F52" s="99"/>
      <c r="G52" s="99"/>
      <c r="H52" s="99"/>
      <c r="I52" s="99"/>
    </row>
    <row r="53" spans="1:9" x14ac:dyDescent="0.2">
      <c r="A53" s="99"/>
      <c r="B53" s="99" t="s">
        <v>827</v>
      </c>
      <c r="C53" s="99"/>
      <c r="D53" s="99"/>
      <c r="E53" s="99"/>
      <c r="F53" s="99"/>
      <c r="G53" s="99"/>
      <c r="H53" s="99"/>
      <c r="I53" s="99"/>
    </row>
    <row r="54" spans="1:9" x14ac:dyDescent="0.2">
      <c r="A54" s="99"/>
      <c r="B54" s="99" t="s">
        <v>807</v>
      </c>
      <c r="C54" s="99"/>
      <c r="D54" s="99"/>
      <c r="E54" s="99"/>
      <c r="F54" s="99"/>
      <c r="G54" s="99"/>
      <c r="H54" s="99"/>
      <c r="I54" s="99"/>
    </row>
    <row r="55" spans="1:9" x14ac:dyDescent="0.2">
      <c r="A55" s="99"/>
      <c r="B55" s="99" t="s">
        <v>937</v>
      </c>
      <c r="C55" s="99"/>
      <c r="D55" s="99"/>
      <c r="E55" s="99"/>
      <c r="F55" s="99"/>
      <c r="G55" s="99"/>
      <c r="H55" s="99"/>
      <c r="I55" s="99"/>
    </row>
    <row r="56" spans="1:9" x14ac:dyDescent="0.2">
      <c r="A56" s="99"/>
      <c r="B56" s="99"/>
      <c r="C56" s="99"/>
      <c r="D56" s="99"/>
      <c r="E56" s="99"/>
      <c r="F56" s="99"/>
      <c r="G56" s="99"/>
      <c r="H56" s="99"/>
      <c r="I56" s="99"/>
    </row>
    <row r="57" spans="1:9" x14ac:dyDescent="0.2">
      <c r="A57" s="99" t="s">
        <v>808</v>
      </c>
      <c r="B57" s="99"/>
      <c r="C57" s="99"/>
      <c r="D57" s="99"/>
      <c r="E57" s="99"/>
      <c r="F57" s="99"/>
      <c r="G57" s="99"/>
      <c r="H57" s="99"/>
      <c r="I57" s="99"/>
    </row>
    <row r="58" spans="1:9" x14ac:dyDescent="0.2">
      <c r="A58" s="99"/>
      <c r="B58" s="99" t="s">
        <v>828</v>
      </c>
      <c r="C58" s="99"/>
      <c r="D58" s="99"/>
      <c r="E58" s="99"/>
      <c r="F58" s="99"/>
      <c r="G58" s="99"/>
      <c r="H58" s="99"/>
      <c r="I58" s="99"/>
    </row>
    <row r="59" spans="1:9" x14ac:dyDescent="0.2">
      <c r="A59" s="99"/>
      <c r="B59" s="99" t="s">
        <v>938</v>
      </c>
      <c r="C59" s="99"/>
      <c r="D59" s="99"/>
      <c r="E59" s="99"/>
      <c r="F59" s="99"/>
      <c r="G59" s="99"/>
      <c r="H59" s="99"/>
      <c r="I59" s="99"/>
    </row>
    <row r="60" spans="1:9" x14ac:dyDescent="0.2">
      <c r="A60" s="99"/>
      <c r="B60" s="99"/>
      <c r="C60" s="99"/>
      <c r="D60" s="99"/>
      <c r="E60" s="99"/>
      <c r="F60" s="99"/>
      <c r="G60" s="99"/>
      <c r="H60" s="99"/>
      <c r="I60" s="99"/>
    </row>
    <row r="61" spans="1:9" x14ac:dyDescent="0.2">
      <c r="A61" s="99" t="s">
        <v>829</v>
      </c>
      <c r="B61" s="99" t="s">
        <v>809</v>
      </c>
      <c r="C61" s="99"/>
      <c r="D61" s="118"/>
      <c r="E61" s="99"/>
      <c r="F61" s="99"/>
      <c r="G61" s="99"/>
      <c r="H61" s="99"/>
      <c r="I61" s="99"/>
    </row>
    <row r="62" spans="1:9" x14ac:dyDescent="0.2">
      <c r="A62" s="99"/>
      <c r="B62" s="99"/>
      <c r="C62" s="99"/>
      <c r="D62" s="118"/>
      <c r="E62" s="99"/>
      <c r="F62" s="99"/>
      <c r="G62" s="99"/>
      <c r="H62" s="99"/>
      <c r="I62" s="99"/>
    </row>
    <row r="63" spans="1:9" x14ac:dyDescent="0.2">
      <c r="A63" s="99" t="s">
        <v>841</v>
      </c>
      <c r="B63" s="99"/>
      <c r="C63" s="99"/>
      <c r="D63" s="118"/>
      <c r="E63" s="99"/>
      <c r="F63" s="99"/>
      <c r="G63" s="99"/>
      <c r="H63" s="99"/>
      <c r="I63" s="99"/>
    </row>
    <row r="64" spans="1:9" x14ac:dyDescent="0.2">
      <c r="A64" s="99"/>
      <c r="B64" s="99" t="s">
        <v>842</v>
      </c>
      <c r="C64" s="99"/>
      <c r="D64" s="118"/>
      <c r="E64" s="99"/>
      <c r="F64" s="99"/>
      <c r="G64" s="99"/>
      <c r="H64" s="99"/>
      <c r="I64" s="99"/>
    </row>
    <row r="65" spans="1:242" x14ac:dyDescent="0.2">
      <c r="A65" s="99"/>
      <c r="B65" s="99" t="s">
        <v>810</v>
      </c>
      <c r="C65" s="99"/>
      <c r="D65" s="118"/>
      <c r="E65" s="99"/>
      <c r="F65" s="99"/>
      <c r="G65" s="99"/>
      <c r="H65" s="99"/>
      <c r="I65" s="99"/>
    </row>
    <row r="66" spans="1:242" x14ac:dyDescent="0.2">
      <c r="A66" s="99"/>
      <c r="B66" s="99"/>
      <c r="C66" s="99"/>
      <c r="D66" s="118"/>
      <c r="E66" s="99"/>
      <c r="F66" s="99"/>
      <c r="G66" s="99"/>
      <c r="H66" s="99"/>
      <c r="I66" s="99"/>
    </row>
    <row r="67" spans="1:242" x14ac:dyDescent="0.2">
      <c r="A67" s="99" t="s">
        <v>811</v>
      </c>
      <c r="B67" s="99"/>
      <c r="C67" s="99"/>
      <c r="D67" s="118"/>
      <c r="E67" s="99"/>
      <c r="F67" s="99"/>
      <c r="G67" s="99"/>
      <c r="H67" s="99"/>
      <c r="I67" s="99"/>
    </row>
    <row r="68" spans="1:242" x14ac:dyDescent="0.2">
      <c r="A68" s="99"/>
      <c r="B68" s="99" t="s">
        <v>880</v>
      </c>
      <c r="C68" s="99"/>
      <c r="D68" s="118"/>
      <c r="E68" s="99"/>
      <c r="F68" s="99"/>
      <c r="G68" s="99"/>
      <c r="H68" s="99"/>
      <c r="I68" s="99"/>
    </row>
    <row r="69" spans="1:242" x14ac:dyDescent="0.2">
      <c r="A69" s="10"/>
      <c r="B69" s="99"/>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row>
    <row r="70" spans="1:242" x14ac:dyDescent="0.2">
      <c r="A70" s="10" t="s">
        <v>111</v>
      </c>
      <c r="B70" s="9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row>
    <row r="71" spans="1:242" x14ac:dyDescent="0.2">
      <c r="A71" s="10"/>
      <c r="B71" s="99" t="s">
        <v>887</v>
      </c>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row>
    <row r="72" spans="1:242" x14ac:dyDescent="0.2">
      <c r="A72" s="10"/>
      <c r="B72" s="99"/>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row>
    <row r="73" spans="1:242" x14ac:dyDescent="0.2">
      <c r="A73" s="10" t="s">
        <v>812</v>
      </c>
      <c r="B73" s="99"/>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row>
    <row r="74" spans="1:242" x14ac:dyDescent="0.2">
      <c r="A74" s="10"/>
      <c r="B74" s="99" t="s">
        <v>885</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row>
    <row r="75" spans="1:242" x14ac:dyDescent="0.2">
      <c r="A75" s="10"/>
      <c r="B75" s="96" t="s">
        <v>886</v>
      </c>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row>
    <row r="76" spans="1:242" x14ac:dyDescent="0.2">
      <c r="A76" s="10"/>
      <c r="B76" s="96"/>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row>
    <row r="77" spans="1:242" x14ac:dyDescent="0.2">
      <c r="A77" s="10" t="s">
        <v>813</v>
      </c>
      <c r="B77" s="99"/>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c r="IC77" s="10"/>
      <c r="ID77" s="10"/>
      <c r="IE77" s="10"/>
      <c r="IF77" s="10"/>
      <c r="IG77" s="10"/>
      <c r="IH77" s="10"/>
    </row>
    <row r="78" spans="1:242" x14ac:dyDescent="0.2">
      <c r="A78" s="10"/>
      <c r="B78" s="99" t="s">
        <v>871</v>
      </c>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c r="HX78" s="10"/>
      <c r="HY78" s="10"/>
      <c r="HZ78" s="10"/>
      <c r="IA78" s="10"/>
      <c r="IB78" s="10"/>
      <c r="IC78" s="10"/>
      <c r="ID78" s="10"/>
      <c r="IE78" s="10"/>
      <c r="IF78" s="10"/>
      <c r="IG78" s="10"/>
      <c r="IH78" s="10"/>
    </row>
    <row r="79" spans="1:242" x14ac:dyDescent="0.2">
      <c r="A79" s="10"/>
      <c r="B79" s="99" t="s">
        <v>872</v>
      </c>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row>
    <row r="80" spans="1:242" x14ac:dyDescent="0.2">
      <c r="A80" s="10"/>
      <c r="B80" s="99"/>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c r="HU80" s="10"/>
      <c r="HV80" s="10"/>
      <c r="HW80" s="10"/>
      <c r="HX80" s="10"/>
      <c r="HY80" s="10"/>
      <c r="HZ80" s="10"/>
      <c r="IA80" s="10"/>
      <c r="IB80" s="10"/>
      <c r="IC80" s="10"/>
      <c r="ID80" s="10"/>
      <c r="IE80" s="10"/>
      <c r="IF80" s="10"/>
      <c r="IG80" s="10"/>
      <c r="IH80" s="10"/>
    </row>
    <row r="81" spans="1:242" x14ac:dyDescent="0.2">
      <c r="A81" s="10" t="s">
        <v>451</v>
      </c>
      <c r="B81" s="99"/>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c r="HU81" s="10"/>
      <c r="HV81" s="10"/>
      <c r="HW81" s="10"/>
      <c r="HX81" s="10"/>
      <c r="HY81" s="10"/>
      <c r="HZ81" s="10"/>
      <c r="IA81" s="10"/>
      <c r="IB81" s="10"/>
      <c r="IC81" s="10"/>
      <c r="ID81" s="10"/>
      <c r="IE81" s="10"/>
      <c r="IF81" s="10"/>
      <c r="IG81" s="10"/>
      <c r="IH81" s="10"/>
    </row>
    <row r="82" spans="1:242" x14ac:dyDescent="0.2">
      <c r="A82" s="10"/>
      <c r="B82" s="99" t="s">
        <v>830</v>
      </c>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c r="HS82" s="10"/>
      <c r="HT82" s="10"/>
      <c r="HU82" s="10"/>
      <c r="HV82" s="10"/>
      <c r="HW82" s="10"/>
      <c r="HX82" s="10"/>
      <c r="HY82" s="10"/>
      <c r="HZ82" s="10"/>
      <c r="IA82" s="10"/>
      <c r="IB82" s="10"/>
      <c r="IC82" s="10"/>
      <c r="ID82" s="10"/>
      <c r="IE82" s="10"/>
      <c r="IF82" s="10"/>
      <c r="IG82" s="10"/>
      <c r="IH82" s="10"/>
    </row>
    <row r="83" spans="1:242" x14ac:dyDescent="0.2">
      <c r="A83" s="10"/>
      <c r="B83" s="99" t="s">
        <v>817</v>
      </c>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c r="HX83" s="10"/>
      <c r="HY83" s="10"/>
      <c r="HZ83" s="10"/>
      <c r="IA83" s="10"/>
      <c r="IB83" s="10"/>
      <c r="IC83" s="10"/>
      <c r="ID83" s="10"/>
      <c r="IE83" s="10"/>
      <c r="IF83" s="10"/>
      <c r="IG83" s="10"/>
      <c r="IH83" s="10"/>
    </row>
    <row r="84" spans="1:242" x14ac:dyDescent="0.2">
      <c r="A84" s="10"/>
      <c r="B84" s="99" t="s">
        <v>816</v>
      </c>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c r="HX84" s="10"/>
      <c r="HY84" s="10"/>
      <c r="HZ84" s="10"/>
      <c r="IA84" s="10"/>
      <c r="IB84" s="10"/>
      <c r="IC84" s="10"/>
      <c r="ID84" s="10"/>
      <c r="IE84" s="10"/>
      <c r="IF84" s="10"/>
      <c r="IG84" s="10"/>
      <c r="IH84" s="10"/>
    </row>
    <row r="85" spans="1:242" x14ac:dyDescent="0.2">
      <c r="A85" s="10"/>
      <c r="B85" s="99" t="s">
        <v>818</v>
      </c>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row>
    <row r="86" spans="1:242" x14ac:dyDescent="0.2">
      <c r="A86" s="10"/>
      <c r="B86" s="99" t="s">
        <v>814</v>
      </c>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row>
    <row r="87" spans="1:242" x14ac:dyDescent="0.2">
      <c r="A87" s="10"/>
      <c r="B87" s="99" t="s">
        <v>815</v>
      </c>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U87" s="10"/>
      <c r="GV87" s="10"/>
      <c r="GW87" s="10"/>
      <c r="GX87" s="10"/>
      <c r="GY87" s="10"/>
      <c r="GZ87" s="10"/>
      <c r="HA87" s="10"/>
      <c r="HB87" s="10"/>
      <c r="HC87" s="10"/>
      <c r="HD87" s="10"/>
      <c r="HE87" s="10"/>
      <c r="HF87" s="10"/>
      <c r="HG87" s="10"/>
      <c r="HH87" s="10"/>
      <c r="HI87" s="10"/>
      <c r="HJ87" s="10"/>
      <c r="HK87" s="10"/>
      <c r="HL87" s="10"/>
      <c r="HM87" s="10"/>
      <c r="HN87" s="10"/>
      <c r="HO87" s="10"/>
      <c r="HP87" s="10"/>
      <c r="HQ87" s="10"/>
      <c r="HR87" s="10"/>
      <c r="HS87" s="10"/>
      <c r="HT87" s="10"/>
      <c r="HU87" s="10"/>
      <c r="HV87" s="10"/>
      <c r="HW87" s="10"/>
      <c r="HX87" s="10"/>
      <c r="HY87" s="10"/>
      <c r="HZ87" s="10"/>
      <c r="IA87" s="10"/>
      <c r="IB87" s="10"/>
      <c r="IC87" s="10"/>
      <c r="ID87" s="10"/>
      <c r="IE87" s="10"/>
      <c r="IF87" s="10"/>
      <c r="IG87" s="10"/>
      <c r="IH87" s="10"/>
    </row>
    <row r="88" spans="1:242" x14ac:dyDescent="0.2">
      <c r="A88" s="10"/>
      <c r="B88" s="99" t="s">
        <v>819</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row>
    <row r="89" spans="1:242" x14ac:dyDescent="0.2">
      <c r="A89" s="10"/>
      <c r="B89" s="99" t="s">
        <v>853</v>
      </c>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c r="IA89" s="10"/>
      <c r="IB89" s="10"/>
      <c r="IC89" s="10"/>
      <c r="ID89" s="10"/>
      <c r="IE89" s="10"/>
      <c r="IF89" s="10"/>
      <c r="IG89" s="10"/>
      <c r="IH89" s="10"/>
    </row>
    <row r="90" spans="1:242" x14ac:dyDescent="0.2">
      <c r="A90" s="10"/>
      <c r="B90" s="99" t="s">
        <v>995</v>
      </c>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c r="HX90" s="10"/>
      <c r="HY90" s="10"/>
      <c r="HZ90" s="10"/>
      <c r="IA90" s="10"/>
      <c r="IB90" s="10"/>
      <c r="IC90" s="10"/>
      <c r="ID90" s="10"/>
      <c r="IE90" s="10"/>
      <c r="IF90" s="10"/>
      <c r="IG90" s="10"/>
      <c r="IH90" s="10"/>
    </row>
    <row r="91" spans="1:242" x14ac:dyDescent="0.2">
      <c r="A91" s="10"/>
      <c r="B91" s="99"/>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row>
    <row r="92" spans="1:242" x14ac:dyDescent="0.2">
      <c r="A92" s="10" t="s">
        <v>820</v>
      </c>
      <c r="B92" s="99"/>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c r="HX92" s="10"/>
      <c r="HY92" s="10"/>
      <c r="HZ92" s="10"/>
      <c r="IA92" s="10"/>
      <c r="IB92" s="10"/>
      <c r="IC92" s="10"/>
      <c r="ID92" s="10"/>
      <c r="IE92" s="10"/>
      <c r="IF92" s="10"/>
      <c r="IG92" s="10"/>
      <c r="IH92" s="10"/>
    </row>
    <row r="93" spans="1:242" x14ac:dyDescent="0.2">
      <c r="A93" s="10"/>
      <c r="B93" s="99" t="s">
        <v>821</v>
      </c>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c r="HT93" s="10"/>
      <c r="HU93" s="10"/>
      <c r="HV93" s="10"/>
      <c r="HW93" s="10"/>
      <c r="HX93" s="10"/>
      <c r="HY93" s="10"/>
      <c r="HZ93" s="10"/>
      <c r="IA93" s="10"/>
      <c r="IB93" s="10"/>
      <c r="IC93" s="10"/>
      <c r="ID93" s="10"/>
      <c r="IE93" s="10"/>
      <c r="IF93" s="10"/>
      <c r="IG93" s="10"/>
      <c r="IH93" s="10"/>
    </row>
    <row r="94" spans="1:242" x14ac:dyDescent="0.2">
      <c r="A94" s="10"/>
      <c r="B94" s="99"/>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c r="HU94" s="10"/>
      <c r="HV94" s="10"/>
      <c r="HW94" s="10"/>
      <c r="HX94" s="10"/>
      <c r="HY94" s="10"/>
      <c r="HZ94" s="10"/>
      <c r="IA94" s="10"/>
      <c r="IB94" s="10"/>
      <c r="IC94" s="10"/>
      <c r="ID94" s="10"/>
      <c r="IE94" s="10"/>
      <c r="IF94" s="10"/>
      <c r="IG94" s="10"/>
      <c r="IH94" s="10"/>
    </row>
    <row r="95" spans="1:242" x14ac:dyDescent="0.2">
      <c r="A95" s="50" t="s">
        <v>855</v>
      </c>
      <c r="B95" s="99"/>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c r="HU95" s="10"/>
      <c r="HV95" s="10"/>
      <c r="HW95" s="10"/>
      <c r="HX95" s="10"/>
      <c r="HY95" s="10"/>
      <c r="HZ95" s="10"/>
      <c r="IA95" s="10"/>
      <c r="IB95" s="10"/>
      <c r="IC95" s="10"/>
      <c r="ID95" s="10"/>
      <c r="IE95" s="10"/>
      <c r="IF95" s="10"/>
      <c r="IG95" s="10"/>
      <c r="IH95" s="10"/>
    </row>
    <row r="96" spans="1:242" x14ac:dyDescent="0.2">
      <c r="A96" s="10"/>
      <c r="B96" s="99" t="s">
        <v>854</v>
      </c>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c r="IC96" s="10"/>
      <c r="ID96" s="10"/>
      <c r="IE96" s="10"/>
      <c r="IF96" s="10"/>
      <c r="IG96" s="10"/>
      <c r="IH96" s="10"/>
    </row>
    <row r="97" spans="1:242" x14ac:dyDescent="0.2">
      <c r="A97" s="10"/>
      <c r="B97" s="99" t="s">
        <v>888</v>
      </c>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c r="IC97" s="10"/>
      <c r="ID97" s="10"/>
      <c r="IE97" s="10"/>
      <c r="IF97" s="10"/>
      <c r="IG97" s="10"/>
      <c r="IH97" s="10"/>
    </row>
    <row r="98" spans="1:242" x14ac:dyDescent="0.2">
      <c r="A98" s="10"/>
      <c r="B98" s="99" t="s">
        <v>962</v>
      </c>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c r="HU98" s="10"/>
      <c r="HV98" s="10"/>
      <c r="HW98" s="10"/>
      <c r="HX98" s="10"/>
      <c r="HY98" s="10"/>
      <c r="HZ98" s="10"/>
      <c r="IA98" s="10"/>
      <c r="IB98" s="10"/>
      <c r="IC98" s="10"/>
      <c r="ID98" s="10"/>
      <c r="IE98" s="10"/>
      <c r="IF98" s="10"/>
      <c r="IG98" s="10"/>
      <c r="IH98" s="10"/>
    </row>
    <row r="99" spans="1:242" x14ac:dyDescent="0.2">
      <c r="A99" s="10"/>
      <c r="B99" s="99" t="s">
        <v>994</v>
      </c>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10"/>
      <c r="IG99" s="10"/>
      <c r="IH99" s="10"/>
    </row>
    <row r="100" spans="1:242" x14ac:dyDescent="0.2">
      <c r="A100" s="10"/>
      <c r="B100" s="99"/>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c r="HX100" s="10"/>
      <c r="HY100" s="10"/>
      <c r="HZ100" s="10"/>
      <c r="IA100" s="10"/>
      <c r="IB100" s="10"/>
      <c r="IC100" s="10"/>
      <c r="ID100" s="10"/>
      <c r="IE100" s="10"/>
      <c r="IF100" s="10"/>
      <c r="IG100" s="10"/>
      <c r="IH100" s="10"/>
    </row>
    <row r="101" spans="1:242" x14ac:dyDescent="0.2">
      <c r="A101" s="10" t="s">
        <v>856</v>
      </c>
      <c r="B101" s="99"/>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HN101" s="10"/>
      <c r="HO101" s="10"/>
      <c r="HP101" s="10"/>
      <c r="HQ101" s="10"/>
      <c r="HR101" s="10"/>
      <c r="HS101" s="10"/>
      <c r="HT101" s="10"/>
      <c r="HU101" s="10"/>
      <c r="HV101" s="10"/>
      <c r="HW101" s="10"/>
      <c r="HX101" s="10"/>
      <c r="HY101" s="10"/>
      <c r="HZ101" s="10"/>
      <c r="IA101" s="10"/>
      <c r="IB101" s="10"/>
      <c r="IC101" s="10"/>
      <c r="ID101" s="10"/>
      <c r="IE101" s="10"/>
      <c r="IF101" s="10"/>
      <c r="IG101" s="10"/>
      <c r="IH101" s="10"/>
    </row>
    <row r="102" spans="1:242" x14ac:dyDescent="0.2">
      <c r="A102" s="10"/>
      <c r="B102" s="99" t="s">
        <v>822</v>
      </c>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10"/>
      <c r="GK102" s="10"/>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c r="HL102" s="10"/>
      <c r="HM102" s="10"/>
      <c r="HN102" s="10"/>
      <c r="HO102" s="10"/>
      <c r="HP102" s="10"/>
      <c r="HQ102" s="10"/>
      <c r="HR102" s="10"/>
      <c r="HS102" s="10"/>
      <c r="HT102" s="10"/>
      <c r="HU102" s="10"/>
      <c r="HV102" s="10"/>
      <c r="HW102" s="10"/>
      <c r="HX102" s="10"/>
      <c r="HY102" s="10"/>
      <c r="HZ102" s="10"/>
      <c r="IA102" s="10"/>
      <c r="IB102" s="10"/>
      <c r="IC102" s="10"/>
      <c r="ID102" s="10"/>
      <c r="IE102" s="10"/>
      <c r="IF102" s="10"/>
      <c r="IG102" s="10"/>
      <c r="IH102" s="10"/>
    </row>
    <row r="103" spans="1:242" x14ac:dyDescent="0.2">
      <c r="A103" s="10"/>
      <c r="B103" s="99"/>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10"/>
      <c r="GK103" s="10"/>
      <c r="GL103" s="10"/>
      <c r="GM103" s="10"/>
      <c r="GN103" s="10"/>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HN103" s="10"/>
      <c r="HO103" s="10"/>
      <c r="HP103" s="10"/>
      <c r="HQ103" s="10"/>
      <c r="HR103" s="10"/>
      <c r="HS103" s="10"/>
      <c r="HT103" s="10"/>
      <c r="HU103" s="10"/>
      <c r="HV103" s="10"/>
      <c r="HW103" s="10"/>
      <c r="HX103" s="10"/>
      <c r="HY103" s="10"/>
      <c r="HZ103" s="10"/>
      <c r="IA103" s="10"/>
      <c r="IB103" s="10"/>
      <c r="IC103" s="10"/>
      <c r="ID103" s="10"/>
      <c r="IE103" s="10"/>
      <c r="IF103" s="10"/>
      <c r="IG103" s="10"/>
      <c r="IH103" s="10"/>
    </row>
    <row r="104" spans="1:242" x14ac:dyDescent="0.2">
      <c r="A104" s="10" t="s">
        <v>857</v>
      </c>
      <c r="B104" s="99"/>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c r="HD104" s="10"/>
      <c r="HE104" s="10"/>
      <c r="HF104" s="10"/>
      <c r="HG104" s="10"/>
      <c r="HH104" s="10"/>
      <c r="HI104" s="10"/>
      <c r="HJ104" s="10"/>
      <c r="HK104" s="10"/>
      <c r="HL104" s="10"/>
      <c r="HM104" s="10"/>
      <c r="HN104" s="10"/>
      <c r="HO104" s="10"/>
      <c r="HP104" s="10"/>
      <c r="HQ104" s="10"/>
      <c r="HR104" s="10"/>
      <c r="HS104" s="10"/>
      <c r="HT104" s="10"/>
      <c r="HU104" s="10"/>
      <c r="HV104" s="10"/>
      <c r="HW104" s="10"/>
      <c r="HX104" s="10"/>
      <c r="HY104" s="10"/>
      <c r="HZ104" s="10"/>
      <c r="IA104" s="10"/>
      <c r="IB104" s="10"/>
      <c r="IC104" s="10"/>
      <c r="ID104" s="10"/>
      <c r="IE104" s="10"/>
      <c r="IF104" s="10"/>
      <c r="IG104" s="10"/>
      <c r="IH104" s="10"/>
    </row>
    <row r="105" spans="1:242" ht="15.75" x14ac:dyDescent="0.25">
      <c r="A105" s="19"/>
      <c r="B105" s="99" t="s">
        <v>843</v>
      </c>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c r="GC105" s="10"/>
      <c r="GD105" s="10"/>
      <c r="GE105" s="10"/>
      <c r="GF105" s="10"/>
      <c r="GG105" s="10"/>
      <c r="GH105" s="10"/>
      <c r="GI105" s="10"/>
      <c r="GJ105" s="10"/>
      <c r="GK105" s="10"/>
      <c r="GL105" s="10"/>
      <c r="GM105" s="10"/>
      <c r="GN105" s="10"/>
      <c r="GO105" s="10"/>
      <c r="GP105" s="10"/>
      <c r="GQ105" s="10"/>
      <c r="GR105" s="10"/>
      <c r="GS105" s="10"/>
      <c r="GT105" s="10"/>
      <c r="GU105" s="10"/>
      <c r="GV105" s="10"/>
      <c r="GW105" s="10"/>
      <c r="GX105" s="10"/>
      <c r="GY105" s="10"/>
      <c r="GZ105" s="10"/>
      <c r="HA105" s="10"/>
      <c r="HB105" s="10"/>
      <c r="HC105" s="10"/>
      <c r="HD105" s="10"/>
      <c r="HE105" s="10"/>
      <c r="HF105" s="10"/>
      <c r="HG105" s="10"/>
      <c r="HH105" s="10"/>
      <c r="HI105" s="10"/>
      <c r="HJ105" s="10"/>
      <c r="HK105" s="10"/>
      <c r="HL105" s="10"/>
      <c r="HM105" s="10"/>
      <c r="HN105" s="10"/>
      <c r="HO105" s="10"/>
      <c r="HP105" s="10"/>
      <c r="HQ105" s="10"/>
      <c r="HR105" s="10"/>
      <c r="HS105" s="10"/>
      <c r="HT105" s="10"/>
      <c r="HU105" s="10"/>
      <c r="HV105" s="10"/>
      <c r="HW105" s="10"/>
      <c r="HX105" s="10"/>
      <c r="HY105" s="10"/>
      <c r="HZ105" s="10"/>
      <c r="IA105" s="10"/>
      <c r="IB105" s="10"/>
      <c r="IC105" s="10"/>
      <c r="ID105" s="10"/>
      <c r="IE105" s="10"/>
      <c r="IF105" s="10"/>
      <c r="IG105" s="10"/>
      <c r="IH105" s="10"/>
    </row>
    <row r="106" spans="1:242" ht="15.75" x14ac:dyDescent="0.25">
      <c r="A106" s="19"/>
      <c r="B106" s="99"/>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c r="HJ106" s="10"/>
      <c r="HK106" s="10"/>
      <c r="HL106" s="10"/>
      <c r="HM106" s="10"/>
      <c r="HN106" s="10"/>
      <c r="HO106" s="10"/>
      <c r="HP106" s="10"/>
      <c r="HQ106" s="10"/>
      <c r="HR106" s="10"/>
      <c r="HS106" s="10"/>
      <c r="HT106" s="10"/>
      <c r="HU106" s="10"/>
      <c r="HV106" s="10"/>
      <c r="HW106" s="10"/>
      <c r="HX106" s="10"/>
      <c r="HY106" s="10"/>
      <c r="HZ106" s="10"/>
      <c r="IA106" s="10"/>
      <c r="IB106" s="10"/>
      <c r="IC106" s="10"/>
      <c r="ID106" s="10"/>
      <c r="IE106" s="10"/>
      <c r="IF106" s="10"/>
      <c r="IG106" s="10"/>
      <c r="IH106" s="10"/>
    </row>
    <row r="107" spans="1:242" x14ac:dyDescent="0.2">
      <c r="A107" s="10" t="s">
        <v>421</v>
      </c>
      <c r="B107" s="99"/>
      <c r="C107" s="10"/>
      <c r="D107" s="335"/>
      <c r="E107" s="335"/>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c r="GB107" s="10"/>
      <c r="GC107" s="10"/>
      <c r="GD107" s="10"/>
      <c r="GE107" s="10"/>
      <c r="GF107" s="10"/>
      <c r="GG107" s="10"/>
      <c r="GH107" s="10"/>
      <c r="GI107" s="10"/>
      <c r="GJ107" s="10"/>
      <c r="GK107" s="10"/>
      <c r="GL107" s="10"/>
      <c r="GM107" s="10"/>
      <c r="GN107" s="10"/>
      <c r="GO107" s="10"/>
      <c r="GP107" s="10"/>
      <c r="GQ107" s="10"/>
      <c r="GR107" s="10"/>
      <c r="GS107" s="10"/>
      <c r="GT107" s="10"/>
      <c r="GU107" s="10"/>
      <c r="GV107" s="10"/>
      <c r="GW107" s="10"/>
      <c r="GX107" s="10"/>
      <c r="GY107" s="10"/>
      <c r="GZ107" s="10"/>
      <c r="HA107" s="10"/>
      <c r="HB107" s="10"/>
      <c r="HC107" s="10"/>
      <c r="HD107" s="10"/>
      <c r="HE107" s="10"/>
      <c r="HF107" s="10"/>
      <c r="HG107" s="10"/>
      <c r="HH107" s="10"/>
      <c r="HI107" s="10"/>
      <c r="HJ107" s="10"/>
      <c r="HK107" s="10"/>
      <c r="HL107" s="10"/>
      <c r="HM107" s="10"/>
      <c r="HN107" s="10"/>
      <c r="HO107" s="10"/>
      <c r="HP107" s="10"/>
      <c r="HQ107" s="10"/>
      <c r="HR107" s="10"/>
      <c r="HS107" s="10"/>
      <c r="HT107" s="10"/>
      <c r="HU107" s="10"/>
      <c r="HV107" s="10"/>
      <c r="HW107" s="10"/>
      <c r="HX107" s="10"/>
      <c r="HY107" s="10"/>
      <c r="HZ107" s="10"/>
      <c r="IA107" s="10"/>
      <c r="IB107" s="10"/>
      <c r="IC107" s="10"/>
      <c r="ID107" s="10"/>
      <c r="IE107" s="10"/>
      <c r="IF107" s="10"/>
      <c r="IG107" s="10"/>
      <c r="IH107" s="10"/>
    </row>
    <row r="108" spans="1:242" x14ac:dyDescent="0.2">
      <c r="A108" s="10"/>
      <c r="B108" s="99" t="s">
        <v>847</v>
      </c>
      <c r="C108" s="10"/>
      <c r="D108" s="335"/>
      <c r="E108" s="335"/>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c r="FQ108" s="10"/>
      <c r="FR108" s="10"/>
      <c r="FS108" s="10"/>
      <c r="FT108" s="10"/>
      <c r="FU108" s="10"/>
      <c r="FV108" s="10"/>
      <c r="FW108" s="10"/>
      <c r="FX108" s="10"/>
      <c r="FY108" s="10"/>
      <c r="FZ108" s="10"/>
      <c r="GA108" s="10"/>
      <c r="GB108" s="10"/>
      <c r="GC108" s="10"/>
      <c r="GD108" s="10"/>
      <c r="GE108" s="10"/>
      <c r="GF108" s="10"/>
      <c r="GG108" s="10"/>
      <c r="GH108" s="10"/>
      <c r="GI108" s="10"/>
      <c r="GJ108" s="10"/>
      <c r="GK108" s="10"/>
      <c r="GL108" s="10"/>
      <c r="GM108" s="10"/>
      <c r="GN108" s="10"/>
      <c r="GO108" s="10"/>
      <c r="GP108" s="10"/>
      <c r="GQ108" s="10"/>
      <c r="GR108" s="10"/>
      <c r="GS108" s="10"/>
      <c r="GT108" s="10"/>
      <c r="GU108" s="10"/>
      <c r="GV108" s="10"/>
      <c r="GW108" s="10"/>
      <c r="GX108" s="10"/>
      <c r="GY108" s="10"/>
      <c r="GZ108" s="10"/>
      <c r="HA108" s="10"/>
      <c r="HB108" s="10"/>
      <c r="HC108" s="10"/>
      <c r="HD108" s="10"/>
      <c r="HE108" s="10"/>
      <c r="HF108" s="10"/>
      <c r="HG108" s="10"/>
      <c r="HH108" s="10"/>
      <c r="HI108" s="10"/>
      <c r="HJ108" s="10"/>
      <c r="HK108" s="10"/>
      <c r="HL108" s="10"/>
      <c r="HM108" s="10"/>
      <c r="HN108" s="10"/>
      <c r="HO108" s="10"/>
      <c r="HP108" s="10"/>
      <c r="HQ108" s="10"/>
      <c r="HR108" s="10"/>
      <c r="HS108" s="10"/>
      <c r="HT108" s="10"/>
      <c r="HU108" s="10"/>
      <c r="HV108" s="10"/>
      <c r="HW108" s="10"/>
      <c r="HX108" s="10"/>
      <c r="HY108" s="10"/>
      <c r="HZ108" s="10"/>
      <c r="IA108" s="10"/>
      <c r="IB108" s="10"/>
      <c r="IC108" s="10"/>
      <c r="ID108" s="10"/>
      <c r="IE108" s="10"/>
      <c r="IF108" s="10"/>
      <c r="IG108" s="10"/>
      <c r="IH108" s="10"/>
    </row>
    <row r="109" spans="1:242" x14ac:dyDescent="0.2">
      <c r="A109" s="10"/>
      <c r="B109" s="99" t="s">
        <v>848</v>
      </c>
      <c r="C109" s="10"/>
      <c r="D109" s="335"/>
      <c r="E109" s="335"/>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c r="FN109" s="10"/>
      <c r="FO109" s="10"/>
      <c r="FP109" s="10"/>
      <c r="FQ109" s="10"/>
      <c r="FR109" s="10"/>
      <c r="FS109" s="10"/>
      <c r="FT109" s="10"/>
      <c r="FU109" s="10"/>
      <c r="FV109" s="10"/>
      <c r="FW109" s="10"/>
      <c r="FX109" s="10"/>
      <c r="FY109" s="10"/>
      <c r="FZ109" s="10"/>
      <c r="GA109" s="10"/>
      <c r="GB109" s="10"/>
      <c r="GC109" s="10"/>
      <c r="GD109" s="10"/>
      <c r="GE109" s="10"/>
      <c r="GF109" s="10"/>
      <c r="GG109" s="10"/>
      <c r="GH109" s="10"/>
      <c r="GI109" s="10"/>
      <c r="GJ109" s="10"/>
      <c r="GK109" s="10"/>
      <c r="GL109" s="10"/>
      <c r="GM109" s="10"/>
      <c r="GN109" s="10"/>
      <c r="GO109" s="10"/>
      <c r="GP109" s="10"/>
      <c r="GQ109" s="10"/>
      <c r="GR109" s="10"/>
      <c r="GS109" s="10"/>
      <c r="GT109" s="10"/>
      <c r="GU109" s="10"/>
      <c r="GV109" s="10"/>
      <c r="GW109" s="10"/>
      <c r="GX109" s="10"/>
      <c r="GY109" s="10"/>
      <c r="GZ109" s="10"/>
      <c r="HA109" s="10"/>
      <c r="HB109" s="10"/>
      <c r="HC109" s="10"/>
      <c r="HD109" s="10"/>
      <c r="HE109" s="10"/>
      <c r="HF109" s="10"/>
      <c r="HG109" s="10"/>
      <c r="HH109" s="10"/>
      <c r="HI109" s="10"/>
      <c r="HJ109" s="10"/>
      <c r="HK109" s="10"/>
      <c r="HL109" s="10"/>
      <c r="HM109" s="10"/>
      <c r="HN109" s="10"/>
      <c r="HO109" s="10"/>
      <c r="HP109" s="10"/>
      <c r="HQ109" s="10"/>
      <c r="HR109" s="10"/>
      <c r="HS109" s="10"/>
      <c r="HT109" s="10"/>
      <c r="HU109" s="10"/>
      <c r="HV109" s="10"/>
      <c r="HW109" s="10"/>
      <c r="HX109" s="10"/>
      <c r="HY109" s="10"/>
      <c r="HZ109" s="10"/>
      <c r="IA109" s="10"/>
      <c r="IB109" s="10"/>
      <c r="IC109" s="10"/>
      <c r="ID109" s="10"/>
      <c r="IE109" s="10"/>
      <c r="IF109" s="10"/>
      <c r="IG109" s="10"/>
      <c r="IH109" s="10"/>
    </row>
    <row r="110" spans="1:242" x14ac:dyDescent="0.2">
      <c r="A110" s="10"/>
      <c r="B110" s="11" t="s">
        <v>627</v>
      </c>
      <c r="C110" s="10"/>
      <c r="D110" s="335"/>
      <c r="E110" s="335"/>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c r="FN110" s="10"/>
      <c r="FO110" s="10"/>
      <c r="FP110" s="10"/>
      <c r="FQ110" s="10"/>
      <c r="FR110" s="10"/>
      <c r="FS110" s="10"/>
      <c r="FT110" s="10"/>
      <c r="FU110" s="10"/>
      <c r="FV110" s="10"/>
      <c r="FW110" s="10"/>
      <c r="FX110" s="10"/>
      <c r="FY110" s="10"/>
      <c r="FZ110" s="10"/>
      <c r="GA110" s="10"/>
      <c r="GB110" s="10"/>
      <c r="GC110" s="10"/>
      <c r="GD110" s="10"/>
      <c r="GE110" s="10"/>
      <c r="GF110" s="10"/>
      <c r="GG110" s="10"/>
      <c r="GH110" s="10"/>
      <c r="GI110" s="10"/>
      <c r="GJ110" s="10"/>
      <c r="GK110" s="10"/>
      <c r="GL110" s="10"/>
      <c r="GM110" s="10"/>
      <c r="GN110" s="10"/>
      <c r="GO110" s="10"/>
      <c r="GP110" s="10"/>
      <c r="GQ110" s="10"/>
      <c r="GR110" s="10"/>
      <c r="GS110" s="10"/>
      <c r="GT110" s="10"/>
      <c r="GU110" s="10"/>
      <c r="GV110" s="10"/>
      <c r="GW110" s="10"/>
      <c r="GX110" s="10"/>
      <c r="GY110" s="10"/>
      <c r="GZ110" s="10"/>
      <c r="HA110" s="10"/>
      <c r="HB110" s="10"/>
      <c r="HC110" s="10"/>
      <c r="HD110" s="10"/>
      <c r="HE110" s="10"/>
      <c r="HF110" s="10"/>
      <c r="HG110" s="10"/>
      <c r="HH110" s="10"/>
      <c r="HI110" s="10"/>
      <c r="HJ110" s="10"/>
      <c r="HK110" s="10"/>
      <c r="HL110" s="10"/>
      <c r="HM110" s="10"/>
      <c r="HN110" s="10"/>
      <c r="HO110" s="10"/>
      <c r="HP110" s="10"/>
      <c r="HQ110" s="10"/>
      <c r="HR110" s="10"/>
      <c r="HS110" s="10"/>
      <c r="HT110" s="10"/>
      <c r="HU110" s="10"/>
      <c r="HV110" s="10"/>
      <c r="HW110" s="10"/>
      <c r="HX110" s="10"/>
      <c r="HY110" s="10"/>
      <c r="HZ110" s="10"/>
      <c r="IA110" s="10"/>
      <c r="IB110" s="10"/>
      <c r="IC110" s="10"/>
      <c r="ID110" s="10"/>
      <c r="IE110" s="10"/>
      <c r="IF110" s="10"/>
      <c r="IG110" s="10"/>
      <c r="IH110" s="10"/>
    </row>
    <row r="111" spans="1:242" x14ac:dyDescent="0.2">
      <c r="A111" s="10"/>
      <c r="B111" s="99"/>
      <c r="C111" s="10"/>
      <c r="D111" s="335"/>
      <c r="E111" s="335"/>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c r="FU111" s="10"/>
      <c r="FV111" s="10"/>
      <c r="FW111" s="10"/>
      <c r="FX111" s="10"/>
      <c r="FY111" s="10"/>
      <c r="FZ111" s="10"/>
      <c r="GA111" s="10"/>
      <c r="GB111" s="10"/>
      <c r="GC111" s="10"/>
      <c r="GD111" s="10"/>
      <c r="GE111" s="10"/>
      <c r="GF111" s="10"/>
      <c r="GG111" s="10"/>
      <c r="GH111" s="10"/>
      <c r="GI111" s="10"/>
      <c r="GJ111" s="10"/>
      <c r="GK111" s="10"/>
      <c r="GL111" s="10"/>
      <c r="GM111" s="10"/>
      <c r="GN111" s="10"/>
      <c r="GO111" s="10"/>
      <c r="GP111" s="10"/>
      <c r="GQ111" s="10"/>
      <c r="GR111" s="10"/>
      <c r="GS111" s="10"/>
      <c r="GT111" s="10"/>
      <c r="GU111" s="10"/>
      <c r="GV111" s="10"/>
      <c r="GW111" s="10"/>
      <c r="GX111" s="10"/>
      <c r="GY111" s="10"/>
      <c r="GZ111" s="10"/>
      <c r="HA111" s="10"/>
      <c r="HB111" s="10"/>
      <c r="HC111" s="10"/>
      <c r="HD111" s="10"/>
      <c r="HE111" s="10"/>
      <c r="HF111" s="10"/>
      <c r="HG111" s="10"/>
      <c r="HH111" s="10"/>
      <c r="HI111" s="10"/>
      <c r="HJ111" s="10"/>
      <c r="HK111" s="10"/>
      <c r="HL111" s="10"/>
      <c r="HM111" s="10"/>
      <c r="HN111" s="10"/>
      <c r="HO111" s="10"/>
      <c r="HP111" s="10"/>
      <c r="HQ111" s="10"/>
      <c r="HR111" s="10"/>
      <c r="HS111" s="10"/>
      <c r="HT111" s="10"/>
      <c r="HU111" s="10"/>
      <c r="HV111" s="10"/>
      <c r="HW111" s="10"/>
      <c r="HX111" s="10"/>
      <c r="HY111" s="10"/>
      <c r="HZ111" s="10"/>
      <c r="IA111" s="10"/>
      <c r="IB111" s="10"/>
      <c r="IC111" s="10"/>
      <c r="ID111" s="10"/>
      <c r="IE111" s="10"/>
      <c r="IF111" s="10"/>
      <c r="IG111" s="10"/>
      <c r="IH111" s="10"/>
    </row>
    <row r="112" spans="1:242" x14ac:dyDescent="0.2">
      <c r="A112" s="10" t="s">
        <v>849</v>
      </c>
      <c r="B112" s="99"/>
      <c r="C112" s="10"/>
      <c r="D112" s="335"/>
      <c r="E112" s="335"/>
      <c r="F112" s="99"/>
      <c r="G112" s="99"/>
      <c r="H112" s="99"/>
      <c r="I112" s="99"/>
    </row>
    <row r="113" spans="1:9" x14ac:dyDescent="0.2">
      <c r="A113" s="10"/>
      <c r="B113" s="99" t="s">
        <v>847</v>
      </c>
      <c r="C113" s="10"/>
      <c r="D113" s="335"/>
      <c r="E113" s="335"/>
      <c r="F113" s="99"/>
      <c r="G113" s="99"/>
      <c r="H113" s="99"/>
      <c r="I113" s="99"/>
    </row>
    <row r="114" spans="1:9" x14ac:dyDescent="0.2">
      <c r="A114" s="335"/>
      <c r="B114" s="99" t="s">
        <v>173</v>
      </c>
      <c r="C114" s="335"/>
      <c r="D114" s="335"/>
      <c r="E114" s="335"/>
      <c r="F114" s="99"/>
      <c r="G114" s="99"/>
      <c r="H114" s="99"/>
      <c r="I114" s="99"/>
    </row>
    <row r="115" spans="1:9" x14ac:dyDescent="0.2">
      <c r="A115" s="335"/>
      <c r="B115" s="99" t="s">
        <v>850</v>
      </c>
      <c r="C115" s="335"/>
      <c r="D115" s="335"/>
      <c r="E115" s="335"/>
      <c r="F115" s="99"/>
      <c r="G115" s="99"/>
      <c r="H115" s="99"/>
      <c r="I115" s="99"/>
    </row>
    <row r="116" spans="1:9" x14ac:dyDescent="0.2">
      <c r="A116" s="335"/>
      <c r="B116" s="11" t="s">
        <v>223</v>
      </c>
      <c r="C116" s="335"/>
      <c r="D116" s="335"/>
      <c r="E116" s="335"/>
      <c r="F116" s="99"/>
      <c r="G116" s="99"/>
      <c r="H116" s="99"/>
      <c r="I116" s="99"/>
    </row>
    <row r="117" spans="1:9" x14ac:dyDescent="0.2">
      <c r="A117" s="99"/>
      <c r="B117" s="99"/>
      <c r="C117" s="99"/>
      <c r="D117" s="99"/>
      <c r="E117" s="99"/>
      <c r="F117" s="99"/>
      <c r="G117" s="99"/>
    </row>
    <row r="118" spans="1:9" x14ac:dyDescent="0.2">
      <c r="A118" s="99"/>
      <c r="B118" s="99"/>
      <c r="C118" s="99"/>
      <c r="D118" s="99"/>
      <c r="E118" s="99"/>
      <c r="F118" s="99"/>
      <c r="G118" s="99"/>
    </row>
    <row r="119" spans="1:9" x14ac:dyDescent="0.2">
      <c r="A119" s="99"/>
      <c r="B119" s="99"/>
      <c r="C119" s="99"/>
      <c r="D119" s="99"/>
      <c r="E119" s="99"/>
      <c r="F119" s="99"/>
      <c r="G119" s="99"/>
    </row>
    <row r="120" spans="1:9" x14ac:dyDescent="0.2">
      <c r="A120" s="99"/>
      <c r="B120" s="99"/>
      <c r="C120" s="99"/>
      <c r="D120" s="99"/>
      <c r="E120" s="99"/>
      <c r="F120" s="99"/>
      <c r="G120" s="99"/>
    </row>
  </sheetData>
  <pageMargins left="0.38" right="0.25" top="0.63" bottom="0.8" header="0.5" footer="0.5"/>
  <pageSetup scale="70" orientation="portrait" r:id="rId1"/>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T15"/>
  <sheetViews>
    <sheetView workbookViewId="0">
      <selection activeCell="I4" sqref="I4"/>
    </sheetView>
  </sheetViews>
  <sheetFormatPr defaultColWidth="12.5703125" defaultRowHeight="15" x14ac:dyDescent="0.2"/>
  <cols>
    <col min="1" max="1" width="40.7109375" style="105" customWidth="1"/>
    <col min="2" max="2" width="11.7109375" style="105" customWidth="1"/>
    <col min="3" max="3" width="12.7109375" style="105" customWidth="1"/>
    <col min="4" max="4" width="9.85546875" style="105" customWidth="1"/>
    <col min="5" max="5" width="15.42578125" style="105" customWidth="1"/>
    <col min="6" max="6" width="7.28515625" style="105" customWidth="1"/>
    <col min="7" max="7" width="8.28515625" style="105" customWidth="1"/>
    <col min="8" max="8" width="15.140625" style="105" customWidth="1"/>
    <col min="9" max="9" width="17.5703125" style="105" customWidth="1"/>
    <col min="10" max="10" width="15.7109375" style="105" customWidth="1"/>
    <col min="11" max="11" width="21.7109375" style="105" customWidth="1"/>
    <col min="12" max="12" width="12.5703125" style="105"/>
    <col min="13" max="13" width="14.28515625" style="105" customWidth="1"/>
    <col min="14" max="16384" width="12.5703125" style="105"/>
  </cols>
  <sheetData>
    <row r="1" spans="1:20" x14ac:dyDescent="0.2">
      <c r="A1" s="102" t="str">
        <f>General!A1</f>
        <v>FINANCIAL ASSURANCE AMOUNT CALCULATION</v>
      </c>
      <c r="B1" s="102"/>
      <c r="C1" s="102"/>
      <c r="I1" s="115" t="str">
        <f>'1...Describe'!G1</f>
        <v>Questa Mine Site</v>
      </c>
      <c r="K1" s="99"/>
      <c r="L1" s="99"/>
      <c r="M1" s="99"/>
      <c r="N1" s="99"/>
      <c r="O1" s="335"/>
      <c r="P1" s="99"/>
      <c r="Q1" s="99"/>
      <c r="R1" s="99"/>
      <c r="S1" s="99"/>
      <c r="T1" s="99"/>
    </row>
    <row r="2" spans="1:20" x14ac:dyDescent="0.2">
      <c r="A2" s="102" t="str">
        <f>General!A2</f>
        <v>Chevron Mining Inc.</v>
      </c>
      <c r="B2" s="102"/>
      <c r="C2" s="102"/>
      <c r="I2" s="115" t="s">
        <v>230</v>
      </c>
      <c r="M2" s="99"/>
      <c r="N2" s="99"/>
      <c r="O2" s="99"/>
      <c r="P2" s="99"/>
      <c r="Q2" s="99"/>
      <c r="R2" s="99"/>
      <c r="S2" s="99"/>
      <c r="T2" s="99"/>
    </row>
    <row r="3" spans="1:20" x14ac:dyDescent="0.2">
      <c r="A3" s="4" t="s">
        <v>231</v>
      </c>
      <c r="B3" s="102"/>
      <c r="C3" s="102"/>
      <c r="I3" s="114">
        <f>General!$D$2</f>
        <v>37256</v>
      </c>
      <c r="M3" s="99"/>
      <c r="N3" s="99"/>
      <c r="O3" s="99"/>
      <c r="P3" s="99"/>
      <c r="Q3" s="99"/>
      <c r="R3" s="99"/>
      <c r="S3" s="99"/>
      <c r="T3" s="99"/>
    </row>
    <row r="4" spans="1:20" x14ac:dyDescent="0.2">
      <c r="A4" s="4"/>
      <c r="B4" s="102"/>
      <c r="C4" s="102"/>
      <c r="H4" s="98" t="s">
        <v>963</v>
      </c>
      <c r="I4" s="120">
        <f>General!$D$3</f>
        <v>43419</v>
      </c>
      <c r="M4" s="99"/>
      <c r="N4" s="99"/>
      <c r="O4" s="99"/>
      <c r="P4" s="99"/>
      <c r="Q4" s="99"/>
      <c r="R4" s="99"/>
      <c r="S4" s="99"/>
      <c r="T4" s="99"/>
    </row>
    <row r="5" spans="1:20" x14ac:dyDescent="0.2">
      <c r="A5" s="4"/>
      <c r="B5" s="102"/>
      <c r="C5" s="102"/>
      <c r="H5" s="119"/>
      <c r="I5" s="120"/>
    </row>
    <row r="6" spans="1:20" x14ac:dyDescent="0.2">
      <c r="A6" s="262" t="s">
        <v>939</v>
      </c>
      <c r="B6" s="244"/>
      <c r="C6" s="244"/>
      <c r="D6" s="99"/>
      <c r="E6" s="99"/>
      <c r="F6" s="99"/>
      <c r="G6" s="99"/>
      <c r="H6" s="119"/>
      <c r="I6" s="120"/>
    </row>
    <row r="7" spans="1:20" x14ac:dyDescent="0.2">
      <c r="A7" s="262"/>
      <c r="B7" s="244"/>
      <c r="C7" s="244"/>
      <c r="D7" s="99"/>
      <c r="E7" s="99"/>
      <c r="F7" s="99"/>
      <c r="G7" s="99"/>
      <c r="H7" s="119"/>
      <c r="I7" s="120"/>
    </row>
    <row r="8" spans="1:20" x14ac:dyDescent="0.2">
      <c r="A8" s="16"/>
      <c r="H8" s="117"/>
      <c r="I8" s="115" t="s">
        <v>232</v>
      </c>
      <c r="J8" s="121"/>
    </row>
    <row r="9" spans="1:20" x14ac:dyDescent="0.2">
      <c r="C9" s="115" t="s">
        <v>233</v>
      </c>
      <c r="D9" s="115" t="s">
        <v>234</v>
      </c>
      <c r="G9" s="115" t="s">
        <v>235</v>
      </c>
      <c r="H9" s="115" t="s">
        <v>236</v>
      </c>
      <c r="I9" s="122" t="s">
        <v>236</v>
      </c>
      <c r="J9" s="121"/>
    </row>
    <row r="10" spans="1:20" x14ac:dyDescent="0.2">
      <c r="A10" s="105" t="s">
        <v>237</v>
      </c>
      <c r="B10" s="105" t="s">
        <v>238</v>
      </c>
      <c r="C10" s="115" t="s">
        <v>239</v>
      </c>
      <c r="D10" s="115" t="s">
        <v>240</v>
      </c>
      <c r="E10" s="115" t="s">
        <v>241</v>
      </c>
      <c r="F10" s="123" t="s">
        <v>235</v>
      </c>
      <c r="G10" s="115" t="s">
        <v>242</v>
      </c>
      <c r="H10" s="115" t="s">
        <v>242</v>
      </c>
      <c r="I10" s="122" t="s">
        <v>242</v>
      </c>
      <c r="K10" s="105" t="s">
        <v>243</v>
      </c>
    </row>
    <row r="11" spans="1:20" x14ac:dyDescent="0.2">
      <c r="A11" s="124"/>
      <c r="B11" s="124"/>
      <c r="C11" s="125" t="s">
        <v>244</v>
      </c>
      <c r="D11" s="126" t="s">
        <v>245</v>
      </c>
      <c r="E11" s="124"/>
      <c r="F11" s="127"/>
      <c r="G11" s="125" t="s">
        <v>246</v>
      </c>
      <c r="H11" s="125" t="s">
        <v>247</v>
      </c>
      <c r="I11" s="128" t="s">
        <v>247</v>
      </c>
      <c r="J11" s="124" t="s">
        <v>248</v>
      </c>
      <c r="K11" s="124" t="s">
        <v>249</v>
      </c>
      <c r="L11" s="124" t="s">
        <v>237</v>
      </c>
    </row>
    <row r="12" spans="1:20" ht="15.75" x14ac:dyDescent="0.25">
      <c r="A12" s="12" t="s">
        <v>250</v>
      </c>
      <c r="E12" s="111"/>
      <c r="G12" s="129"/>
      <c r="H12" s="111"/>
      <c r="I12" s="111"/>
    </row>
    <row r="13" spans="1:20" x14ac:dyDescent="0.2">
      <c r="A13" s="17" t="s">
        <v>253</v>
      </c>
      <c r="C13" s="111"/>
      <c r="G13" s="129"/>
      <c r="H13" s="99"/>
      <c r="I13" s="99"/>
    </row>
    <row r="14" spans="1:20" x14ac:dyDescent="0.2">
      <c r="A14" s="13" t="s">
        <v>254</v>
      </c>
      <c r="B14" s="105" t="s">
        <v>252</v>
      </c>
      <c r="C14" s="111">
        <v>14900</v>
      </c>
      <c r="D14" s="105">
        <v>2</v>
      </c>
      <c r="E14" s="18" t="s">
        <v>251</v>
      </c>
      <c r="G14" s="129"/>
      <c r="H14" s="130"/>
      <c r="I14" s="130"/>
    </row>
    <row r="15" spans="1:20" x14ac:dyDescent="0.2">
      <c r="A15" s="13" t="s">
        <v>254</v>
      </c>
      <c r="B15" s="105" t="s">
        <v>252</v>
      </c>
      <c r="C15" s="111">
        <v>11400</v>
      </c>
      <c r="D15" s="105">
        <v>2</v>
      </c>
      <c r="E15" s="18" t="s">
        <v>251</v>
      </c>
      <c r="G15" s="129"/>
      <c r="H15" s="130"/>
      <c r="I15" s="130"/>
    </row>
  </sheetData>
  <printOptions horizontalCentered="1"/>
  <pageMargins left="0.41" right="0.25" top="0.34" bottom="0.68" header="0.32" footer="0.39"/>
  <pageSetup scale="72"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M186"/>
  <sheetViews>
    <sheetView workbookViewId="0"/>
  </sheetViews>
  <sheetFormatPr defaultColWidth="12.5703125" defaultRowHeight="15" x14ac:dyDescent="0.2"/>
  <cols>
    <col min="1" max="1" width="7.85546875" style="105" customWidth="1"/>
    <col min="2" max="2" width="43.5703125" style="105" customWidth="1"/>
    <col min="3" max="3" width="29.28515625" style="105" customWidth="1"/>
    <col min="4" max="4" width="37.42578125" style="99" bestFit="1" customWidth="1"/>
    <col min="5" max="6" width="10" style="99" customWidth="1"/>
    <col min="7" max="7" width="29" style="99" customWidth="1"/>
    <col min="8" max="9" width="12.5703125" style="99"/>
    <col min="10" max="10" width="37.7109375" style="99" bestFit="1" customWidth="1"/>
    <col min="11" max="11" width="24.85546875" style="105" bestFit="1" customWidth="1"/>
    <col min="12" max="12" width="22.85546875" style="105" bestFit="1" customWidth="1"/>
    <col min="13" max="16384" width="12.5703125" style="105"/>
  </cols>
  <sheetData>
    <row r="1" spans="1:13" x14ac:dyDescent="0.2">
      <c r="A1" s="102" t="str">
        <f>General!A1</f>
        <v>FINANCIAL ASSURANCE AMOUNT CALCULATION</v>
      </c>
      <c r="B1" s="102"/>
      <c r="C1" s="102"/>
      <c r="D1" s="244"/>
      <c r="E1" s="244"/>
      <c r="F1" s="244"/>
      <c r="G1" s="252" t="str">
        <f>General!D1</f>
        <v>Questa Mine Site</v>
      </c>
      <c r="I1" s="335"/>
      <c r="K1" s="99"/>
      <c r="L1" s="99"/>
      <c r="M1" s="99"/>
    </row>
    <row r="2" spans="1:13" x14ac:dyDescent="0.2">
      <c r="A2" s="102" t="str">
        <f>General!A2</f>
        <v>Chevron Mining Inc.</v>
      </c>
      <c r="B2" s="102"/>
      <c r="C2" s="102"/>
      <c r="D2" s="244"/>
      <c r="E2" s="244"/>
      <c r="F2" s="244"/>
      <c r="G2" s="252" t="s">
        <v>268</v>
      </c>
      <c r="K2" s="99"/>
      <c r="L2" s="99"/>
      <c r="M2" s="99"/>
    </row>
    <row r="3" spans="1:13" x14ac:dyDescent="0.2">
      <c r="A3" s="4" t="s">
        <v>269</v>
      </c>
      <c r="B3" s="102"/>
      <c r="C3" s="102"/>
      <c r="D3" s="244"/>
      <c r="E3" s="244"/>
      <c r="F3" s="244"/>
      <c r="G3" s="377">
        <f>General!$D$2</f>
        <v>37256</v>
      </c>
      <c r="K3" s="99"/>
      <c r="L3" s="99"/>
      <c r="M3" s="99"/>
    </row>
    <row r="4" spans="1:13" x14ac:dyDescent="0.2">
      <c r="A4" s="4"/>
      <c r="B4" s="102"/>
      <c r="C4" s="102"/>
      <c r="D4" s="244"/>
      <c r="E4" s="244"/>
      <c r="F4" s="252" t="str">
        <f>General!C3</f>
        <v>Updated by Kiewit/AECOM</v>
      </c>
      <c r="G4" s="377">
        <f>General!D3</f>
        <v>43419</v>
      </c>
      <c r="K4" s="99"/>
      <c r="L4" s="99"/>
      <c r="M4" s="99"/>
    </row>
    <row r="5" spans="1:13" x14ac:dyDescent="0.2">
      <c r="A5" s="4"/>
      <c r="B5" s="102"/>
      <c r="C5" s="102"/>
      <c r="D5" s="244"/>
      <c r="E5" s="244"/>
      <c r="F5" s="252"/>
      <c r="G5" s="377"/>
      <c r="K5" s="99"/>
      <c r="L5" s="99"/>
      <c r="M5" s="99"/>
    </row>
    <row r="6" spans="1:13" x14ac:dyDescent="0.2">
      <c r="A6" s="102"/>
      <c r="B6" s="102"/>
      <c r="C6" s="139"/>
      <c r="D6" s="390"/>
      <c r="E6" s="252" t="s">
        <v>664</v>
      </c>
      <c r="F6" s="390"/>
      <c r="G6" s="390"/>
      <c r="I6" s="335"/>
      <c r="K6" s="99"/>
      <c r="L6" s="99"/>
      <c r="M6" s="99"/>
    </row>
    <row r="7" spans="1:13" x14ac:dyDescent="0.2">
      <c r="A7" s="102"/>
      <c r="B7" s="102"/>
      <c r="C7" s="139" t="s">
        <v>272</v>
      </c>
      <c r="D7" s="390" t="s">
        <v>273</v>
      </c>
      <c r="E7" s="252" t="s">
        <v>274</v>
      </c>
      <c r="F7" s="252" t="s">
        <v>267</v>
      </c>
      <c r="G7" s="252" t="s">
        <v>264</v>
      </c>
      <c r="K7" s="99"/>
      <c r="L7" s="99"/>
      <c r="M7" s="99"/>
    </row>
    <row r="8" spans="1:13" x14ac:dyDescent="0.2">
      <c r="A8" s="140" t="s">
        <v>236</v>
      </c>
      <c r="B8" s="140" t="s">
        <v>237</v>
      </c>
      <c r="C8" s="141"/>
      <c r="D8" s="391"/>
      <c r="E8" s="253" t="s">
        <v>266</v>
      </c>
      <c r="F8" s="253" t="s">
        <v>275</v>
      </c>
      <c r="G8" s="391"/>
      <c r="I8" s="380"/>
      <c r="K8" s="99"/>
      <c r="L8" s="99"/>
      <c r="M8" s="99"/>
    </row>
    <row r="9" spans="1:13" ht="15" customHeight="1" x14ac:dyDescent="0.2">
      <c r="A9" s="20">
        <v>1101</v>
      </c>
      <c r="B9" s="105" t="s">
        <v>276</v>
      </c>
      <c r="C9" s="142" t="s">
        <v>278</v>
      </c>
      <c r="D9" s="142"/>
      <c r="E9" s="130">
        <v>300</v>
      </c>
      <c r="F9" s="143">
        <v>-7.0000000000000007E-2</v>
      </c>
      <c r="G9" s="119" t="s">
        <v>669</v>
      </c>
      <c r="K9" s="99"/>
      <c r="L9" s="99"/>
      <c r="M9" s="99"/>
    </row>
    <row r="10" spans="1:13" ht="15" customHeight="1" x14ac:dyDescent="0.2">
      <c r="A10" s="20">
        <f>1+A9</f>
        <v>1102</v>
      </c>
      <c r="B10" s="105" t="s">
        <v>650</v>
      </c>
      <c r="C10" s="142" t="s">
        <v>647</v>
      </c>
      <c r="D10" s="142"/>
      <c r="E10" s="130">
        <v>300</v>
      </c>
      <c r="F10" s="143">
        <v>-7.0000000000000007E-2</v>
      </c>
      <c r="G10" s="119" t="s">
        <v>670</v>
      </c>
      <c r="K10" s="99"/>
      <c r="L10" s="99"/>
      <c r="M10" s="99"/>
    </row>
    <row r="11" spans="1:13" ht="15" customHeight="1" x14ac:dyDescent="0.2">
      <c r="A11" s="20">
        <f t="shared" ref="A11:A18" si="0">A10+1</f>
        <v>1103</v>
      </c>
      <c r="B11" s="105" t="s">
        <v>276</v>
      </c>
      <c r="C11" s="142" t="s">
        <v>648</v>
      </c>
      <c r="D11" s="142"/>
      <c r="E11" s="130">
        <v>400</v>
      </c>
      <c r="F11" s="143">
        <v>-7.0000000000000007E-2</v>
      </c>
      <c r="G11" s="119" t="s">
        <v>669</v>
      </c>
      <c r="K11" s="99"/>
      <c r="L11" s="99"/>
      <c r="M11" s="99"/>
    </row>
    <row r="12" spans="1:13" ht="15" customHeight="1" x14ac:dyDescent="0.2">
      <c r="A12" s="20">
        <f t="shared" si="0"/>
        <v>1104</v>
      </c>
      <c r="B12" s="105" t="s">
        <v>276</v>
      </c>
      <c r="C12" s="142" t="s">
        <v>649</v>
      </c>
      <c r="E12" s="130">
        <v>400</v>
      </c>
      <c r="F12" s="143">
        <v>-7.0000000000000007E-2</v>
      </c>
      <c r="G12" s="119" t="s">
        <v>669</v>
      </c>
      <c r="K12" s="99"/>
      <c r="L12" s="99"/>
      <c r="M12" s="99"/>
    </row>
    <row r="13" spans="1:13" ht="15" customHeight="1" x14ac:dyDescent="0.2">
      <c r="A13" s="20">
        <f t="shared" si="0"/>
        <v>1105</v>
      </c>
      <c r="B13" s="105" t="s">
        <v>276</v>
      </c>
      <c r="C13" s="142" t="s">
        <v>279</v>
      </c>
      <c r="E13" s="130">
        <v>300</v>
      </c>
      <c r="F13" s="143">
        <v>-7.0000000000000007E-2</v>
      </c>
      <c r="G13" s="119" t="s">
        <v>669</v>
      </c>
      <c r="K13" s="99"/>
      <c r="L13" s="99"/>
      <c r="M13" s="99"/>
    </row>
    <row r="14" spans="1:13" ht="15" customHeight="1" x14ac:dyDescent="0.2">
      <c r="A14" s="20">
        <f t="shared" si="0"/>
        <v>1106</v>
      </c>
      <c r="B14" s="105" t="s">
        <v>658</v>
      </c>
      <c r="C14" s="105" t="s">
        <v>279</v>
      </c>
      <c r="E14" s="130">
        <v>150</v>
      </c>
      <c r="F14" s="143">
        <v>-7.0000000000000007E-2</v>
      </c>
      <c r="G14" s="119" t="s">
        <v>671</v>
      </c>
      <c r="K14" s="99"/>
      <c r="L14" s="99"/>
      <c r="M14" s="99"/>
    </row>
    <row r="15" spans="1:13" ht="15" customHeight="1" x14ac:dyDescent="0.2">
      <c r="A15" s="20">
        <f t="shared" si="0"/>
        <v>1107</v>
      </c>
      <c r="B15" s="105" t="s">
        <v>660</v>
      </c>
      <c r="C15" s="105" t="s">
        <v>649</v>
      </c>
      <c r="E15" s="130">
        <v>300</v>
      </c>
      <c r="F15" s="143">
        <v>-7.0000000000000007E-2</v>
      </c>
      <c r="G15" s="119" t="s">
        <v>670</v>
      </c>
      <c r="K15" s="99"/>
      <c r="L15" s="99"/>
      <c r="M15" s="99"/>
    </row>
    <row r="16" spans="1:13" ht="15" customHeight="1" x14ac:dyDescent="0.2">
      <c r="A16" s="20">
        <f t="shared" si="0"/>
        <v>1108</v>
      </c>
      <c r="B16" s="105" t="s">
        <v>661</v>
      </c>
      <c r="C16" s="105" t="s">
        <v>649</v>
      </c>
      <c r="D16" s="142"/>
      <c r="E16" s="381">
        <v>300</v>
      </c>
      <c r="F16" s="143">
        <v>-7.0000000000000007E-2</v>
      </c>
      <c r="G16" s="119" t="s">
        <v>670</v>
      </c>
      <c r="K16" s="99"/>
      <c r="L16" s="99"/>
      <c r="M16" s="99"/>
    </row>
    <row r="17" spans="1:13" ht="15" customHeight="1" x14ac:dyDescent="0.2">
      <c r="A17" s="20">
        <f t="shared" si="0"/>
        <v>1109</v>
      </c>
      <c r="B17" s="105" t="s">
        <v>772</v>
      </c>
      <c r="C17" s="105" t="s">
        <v>773</v>
      </c>
      <c r="E17" s="381">
        <v>300</v>
      </c>
      <c r="F17" s="143">
        <v>-7.0000000000000007E-2</v>
      </c>
      <c r="G17" s="119" t="s">
        <v>669</v>
      </c>
      <c r="K17" s="99"/>
      <c r="L17" s="99"/>
      <c r="M17" s="99"/>
    </row>
    <row r="18" spans="1:13" ht="15" customHeight="1" x14ac:dyDescent="0.2">
      <c r="A18" s="20">
        <f t="shared" si="0"/>
        <v>1110</v>
      </c>
      <c r="B18" s="105" t="s">
        <v>774</v>
      </c>
      <c r="C18" s="105" t="s">
        <v>773</v>
      </c>
      <c r="E18" s="381">
        <v>300</v>
      </c>
      <c r="F18" s="143">
        <v>-7.0000000000000007E-2</v>
      </c>
      <c r="G18" s="119" t="s">
        <v>775</v>
      </c>
      <c r="K18" s="99"/>
      <c r="L18" s="99"/>
      <c r="M18" s="99"/>
    </row>
    <row r="19" spans="1:13" ht="15" customHeight="1" x14ac:dyDescent="0.2">
      <c r="A19" s="20"/>
      <c r="C19" s="142"/>
      <c r="D19" s="142"/>
      <c r="F19" s="143"/>
      <c r="G19" s="119"/>
      <c r="K19" s="99"/>
      <c r="L19" s="99"/>
      <c r="M19" s="99"/>
    </row>
    <row r="20" spans="1:13" ht="15" customHeight="1" x14ac:dyDescent="0.2">
      <c r="A20" s="20"/>
      <c r="C20" s="142"/>
      <c r="D20" s="142"/>
      <c r="F20" s="143"/>
      <c r="G20" s="119"/>
      <c r="K20" s="99"/>
      <c r="L20" s="99"/>
      <c r="M20" s="99"/>
    </row>
    <row r="21" spans="1:13" ht="15" customHeight="1" x14ac:dyDescent="0.2">
      <c r="A21" s="21">
        <v>1201</v>
      </c>
      <c r="B21" s="105" t="s">
        <v>280</v>
      </c>
      <c r="C21" s="99" t="s">
        <v>691</v>
      </c>
      <c r="D21" s="142" t="s">
        <v>692</v>
      </c>
      <c r="E21" s="22" t="s">
        <v>281</v>
      </c>
      <c r="F21" s="145">
        <v>0</v>
      </c>
      <c r="G21" s="119" t="s">
        <v>724</v>
      </c>
      <c r="K21" s="99"/>
      <c r="L21" s="99"/>
      <c r="M21" s="99"/>
    </row>
    <row r="22" spans="1:13" ht="15" customHeight="1" x14ac:dyDescent="0.2">
      <c r="A22" s="21">
        <f>1+A21</f>
        <v>1202</v>
      </c>
      <c r="B22" s="105" t="s">
        <v>280</v>
      </c>
      <c r="C22" s="142" t="s">
        <v>693</v>
      </c>
      <c r="D22" s="142" t="s">
        <v>696</v>
      </c>
      <c r="E22" s="22" t="s">
        <v>281</v>
      </c>
      <c r="F22" s="145">
        <v>0</v>
      </c>
      <c r="G22" s="119" t="s">
        <v>724</v>
      </c>
      <c r="K22" s="99"/>
      <c r="L22" s="99"/>
      <c r="M22" s="99"/>
    </row>
    <row r="23" spans="1:13" ht="15" customHeight="1" x14ac:dyDescent="0.2">
      <c r="A23" s="21">
        <f t="shared" ref="A23:A52" si="1">1+A22</f>
        <v>1203</v>
      </c>
      <c r="B23" s="105" t="s">
        <v>280</v>
      </c>
      <c r="C23" s="142" t="s">
        <v>694</v>
      </c>
      <c r="D23" s="142" t="s">
        <v>696</v>
      </c>
      <c r="E23" s="22" t="s">
        <v>281</v>
      </c>
      <c r="F23" s="145">
        <v>0</v>
      </c>
      <c r="G23" s="119" t="s">
        <v>724</v>
      </c>
      <c r="K23" s="99"/>
      <c r="L23" s="99"/>
      <c r="M23" s="99"/>
    </row>
    <row r="24" spans="1:13" ht="15" customHeight="1" x14ac:dyDescent="0.2">
      <c r="A24" s="21">
        <f t="shared" si="1"/>
        <v>1204</v>
      </c>
      <c r="B24" s="105" t="s">
        <v>280</v>
      </c>
      <c r="C24" s="142" t="s">
        <v>695</v>
      </c>
      <c r="D24" s="142" t="s">
        <v>697</v>
      </c>
      <c r="E24" s="22" t="s">
        <v>281</v>
      </c>
      <c r="F24" s="145">
        <v>0</v>
      </c>
      <c r="G24" s="119" t="s">
        <v>724</v>
      </c>
      <c r="K24" s="99"/>
      <c r="L24" s="99"/>
      <c r="M24" s="99"/>
    </row>
    <row r="25" spans="1:13" ht="15" customHeight="1" x14ac:dyDescent="0.2">
      <c r="A25" s="21">
        <f t="shared" si="1"/>
        <v>1205</v>
      </c>
      <c r="B25" s="105" t="s">
        <v>280</v>
      </c>
      <c r="C25" s="142" t="s">
        <v>698</v>
      </c>
      <c r="D25" s="142" t="s">
        <v>699</v>
      </c>
      <c r="E25" s="22" t="s">
        <v>281</v>
      </c>
      <c r="F25" s="145">
        <v>0</v>
      </c>
      <c r="G25" s="119" t="s">
        <v>724</v>
      </c>
    </row>
    <row r="26" spans="1:13" ht="15" customHeight="1" x14ac:dyDescent="0.2">
      <c r="A26" s="21">
        <f t="shared" si="1"/>
        <v>1206</v>
      </c>
      <c r="B26" s="105" t="s">
        <v>280</v>
      </c>
      <c r="C26" s="142" t="s">
        <v>700</v>
      </c>
      <c r="D26" s="142" t="s">
        <v>699</v>
      </c>
      <c r="E26" s="22" t="s">
        <v>281</v>
      </c>
      <c r="F26" s="145">
        <v>0</v>
      </c>
      <c r="G26" s="119" t="s">
        <v>724</v>
      </c>
    </row>
    <row r="27" spans="1:13" ht="15" customHeight="1" x14ac:dyDescent="0.2">
      <c r="A27" s="21">
        <f t="shared" si="1"/>
        <v>1207</v>
      </c>
      <c r="B27" s="105" t="s">
        <v>280</v>
      </c>
      <c r="C27" s="142" t="s">
        <v>702</v>
      </c>
      <c r="D27" s="142" t="s">
        <v>701</v>
      </c>
      <c r="E27" s="22" t="s">
        <v>281</v>
      </c>
      <c r="F27" s="145">
        <v>0</v>
      </c>
      <c r="G27" s="119" t="s">
        <v>724</v>
      </c>
    </row>
    <row r="28" spans="1:13" ht="15" customHeight="1" x14ac:dyDescent="0.2">
      <c r="A28" s="21">
        <f t="shared" si="1"/>
        <v>1208</v>
      </c>
      <c r="B28" s="105" t="s">
        <v>280</v>
      </c>
      <c r="C28" s="142" t="s">
        <v>702</v>
      </c>
      <c r="D28" s="142" t="s">
        <v>703</v>
      </c>
      <c r="E28" s="22" t="s">
        <v>281</v>
      </c>
      <c r="F28" s="145">
        <v>0</v>
      </c>
      <c r="G28" s="119" t="s">
        <v>724</v>
      </c>
    </row>
    <row r="29" spans="1:13" ht="15" customHeight="1" x14ac:dyDescent="0.2">
      <c r="A29" s="21">
        <f t="shared" si="1"/>
        <v>1209</v>
      </c>
      <c r="B29" s="105" t="s">
        <v>280</v>
      </c>
      <c r="C29" s="142" t="s">
        <v>704</v>
      </c>
      <c r="D29" s="142" t="s">
        <v>705</v>
      </c>
      <c r="E29" s="22" t="s">
        <v>281</v>
      </c>
      <c r="F29" s="145">
        <v>0</v>
      </c>
      <c r="G29" s="119" t="s">
        <v>724</v>
      </c>
    </row>
    <row r="30" spans="1:13" ht="15" customHeight="1" x14ac:dyDescent="0.2">
      <c r="A30" s="21">
        <f t="shared" si="1"/>
        <v>1210</v>
      </c>
      <c r="B30" s="105" t="s">
        <v>280</v>
      </c>
      <c r="C30" s="142" t="s">
        <v>706</v>
      </c>
      <c r="D30" s="142" t="s">
        <v>705</v>
      </c>
      <c r="E30" s="22" t="s">
        <v>281</v>
      </c>
      <c r="F30" s="145">
        <v>0</v>
      </c>
      <c r="G30" s="119" t="s">
        <v>724</v>
      </c>
    </row>
    <row r="31" spans="1:13" ht="15" customHeight="1" x14ac:dyDescent="0.2">
      <c r="A31" s="21">
        <f t="shared" si="1"/>
        <v>1211</v>
      </c>
      <c r="B31" s="105" t="s">
        <v>280</v>
      </c>
      <c r="C31" s="142" t="s">
        <v>707</v>
      </c>
      <c r="D31" s="142" t="s">
        <v>708</v>
      </c>
      <c r="E31" s="22" t="s">
        <v>281</v>
      </c>
      <c r="F31" s="145">
        <v>0</v>
      </c>
      <c r="G31" s="119" t="s">
        <v>724</v>
      </c>
    </row>
    <row r="32" spans="1:13" ht="15" customHeight="1" x14ac:dyDescent="0.2">
      <c r="A32" s="21">
        <f t="shared" si="1"/>
        <v>1212</v>
      </c>
      <c r="B32" s="105" t="s">
        <v>280</v>
      </c>
      <c r="C32" s="142" t="s">
        <v>709</v>
      </c>
      <c r="D32" s="142" t="s">
        <v>703</v>
      </c>
      <c r="E32" s="22" t="s">
        <v>281</v>
      </c>
      <c r="F32" s="145">
        <v>0</v>
      </c>
      <c r="G32" s="119" t="s">
        <v>724</v>
      </c>
    </row>
    <row r="33" spans="1:7" ht="15" customHeight="1" x14ac:dyDescent="0.2">
      <c r="A33" s="21">
        <f t="shared" si="1"/>
        <v>1213</v>
      </c>
      <c r="B33" s="105" t="s">
        <v>280</v>
      </c>
      <c r="C33" s="142" t="s">
        <v>698</v>
      </c>
      <c r="D33" s="142" t="s">
        <v>708</v>
      </c>
      <c r="E33" s="22" t="s">
        <v>281</v>
      </c>
      <c r="F33" s="145">
        <v>0</v>
      </c>
      <c r="G33" s="119" t="s">
        <v>724</v>
      </c>
    </row>
    <row r="34" spans="1:7" ht="15" customHeight="1" x14ac:dyDescent="0.2">
      <c r="A34" s="21">
        <f t="shared" si="1"/>
        <v>1214</v>
      </c>
      <c r="B34" s="105" t="s">
        <v>280</v>
      </c>
      <c r="C34" s="142" t="s">
        <v>704</v>
      </c>
      <c r="D34" s="142" t="s">
        <v>703</v>
      </c>
      <c r="E34" s="22" t="s">
        <v>281</v>
      </c>
      <c r="F34" s="145">
        <v>0</v>
      </c>
      <c r="G34" s="119" t="s">
        <v>724</v>
      </c>
    </row>
    <row r="35" spans="1:7" ht="15" customHeight="1" x14ac:dyDescent="0.2">
      <c r="A35" s="21">
        <f t="shared" si="1"/>
        <v>1215</v>
      </c>
      <c r="B35" s="105" t="s">
        <v>280</v>
      </c>
      <c r="C35" s="142" t="s">
        <v>695</v>
      </c>
      <c r="D35" s="142" t="s">
        <v>705</v>
      </c>
      <c r="E35" s="22" t="s">
        <v>281</v>
      </c>
      <c r="F35" s="145">
        <v>0</v>
      </c>
      <c r="G35" s="119" t="s">
        <v>724</v>
      </c>
    </row>
    <row r="36" spans="1:7" ht="15" customHeight="1" x14ac:dyDescent="0.2">
      <c r="A36" s="21">
        <f t="shared" si="1"/>
        <v>1216</v>
      </c>
      <c r="B36" s="105" t="s">
        <v>280</v>
      </c>
      <c r="C36" s="142" t="s">
        <v>707</v>
      </c>
      <c r="D36" s="142" t="s">
        <v>705</v>
      </c>
      <c r="E36" s="22" t="s">
        <v>281</v>
      </c>
      <c r="F36" s="145">
        <v>0</v>
      </c>
      <c r="G36" s="119" t="s">
        <v>724</v>
      </c>
    </row>
    <row r="37" spans="1:7" ht="15" customHeight="1" x14ac:dyDescent="0.2">
      <c r="A37" s="21">
        <f t="shared" si="1"/>
        <v>1217</v>
      </c>
      <c r="B37" s="105" t="s">
        <v>280</v>
      </c>
      <c r="C37" s="142" t="s">
        <v>710</v>
      </c>
      <c r="D37" s="142" t="s">
        <v>711</v>
      </c>
      <c r="E37" s="22" t="s">
        <v>281</v>
      </c>
      <c r="F37" s="145">
        <v>0</v>
      </c>
      <c r="G37" s="119" t="s">
        <v>724</v>
      </c>
    </row>
    <row r="38" spans="1:7" ht="15" customHeight="1" x14ac:dyDescent="0.2">
      <c r="A38" s="21">
        <f t="shared" si="1"/>
        <v>1218</v>
      </c>
      <c r="B38" s="105" t="s">
        <v>280</v>
      </c>
      <c r="C38" s="142" t="s">
        <v>279</v>
      </c>
      <c r="D38" s="142" t="s">
        <v>648</v>
      </c>
      <c r="E38" s="22" t="s">
        <v>281</v>
      </c>
      <c r="F38" s="145">
        <v>0</v>
      </c>
      <c r="G38" s="119" t="s">
        <v>726</v>
      </c>
    </row>
    <row r="39" spans="1:7" ht="15" customHeight="1" x14ac:dyDescent="0.2">
      <c r="A39" s="21">
        <f t="shared" si="1"/>
        <v>1219</v>
      </c>
      <c r="B39" s="105" t="s">
        <v>280</v>
      </c>
      <c r="C39" s="142" t="s">
        <v>279</v>
      </c>
      <c r="D39" s="142" t="s">
        <v>651</v>
      </c>
      <c r="E39" s="22" t="s">
        <v>281</v>
      </c>
      <c r="F39" s="145">
        <v>0</v>
      </c>
      <c r="G39" s="119" t="s">
        <v>726</v>
      </c>
    </row>
    <row r="40" spans="1:7" ht="15" customHeight="1" x14ac:dyDescent="0.2">
      <c r="A40" s="21">
        <f t="shared" si="1"/>
        <v>1220</v>
      </c>
      <c r="B40" s="105" t="s">
        <v>280</v>
      </c>
      <c r="C40" s="142" t="s">
        <v>648</v>
      </c>
      <c r="D40" s="142" t="s">
        <v>648</v>
      </c>
      <c r="E40" s="22" t="s">
        <v>281</v>
      </c>
      <c r="F40" s="145">
        <v>0</v>
      </c>
      <c r="G40" s="119" t="s">
        <v>726</v>
      </c>
    </row>
    <row r="41" spans="1:7" ht="15" customHeight="1" x14ac:dyDescent="0.2">
      <c r="A41" s="21">
        <f t="shared" si="1"/>
        <v>1221</v>
      </c>
      <c r="B41" s="105" t="s">
        <v>655</v>
      </c>
      <c r="C41" s="142" t="s">
        <v>649</v>
      </c>
      <c r="D41" s="142" t="s">
        <v>649</v>
      </c>
      <c r="E41" s="22" t="s">
        <v>281</v>
      </c>
      <c r="F41" s="145">
        <v>0</v>
      </c>
      <c r="G41" s="119" t="s">
        <v>726</v>
      </c>
    </row>
    <row r="42" spans="1:7" ht="15" customHeight="1" x14ac:dyDescent="0.2">
      <c r="A42" s="21">
        <f t="shared" si="1"/>
        <v>1222</v>
      </c>
      <c r="B42" s="105" t="s">
        <v>656</v>
      </c>
      <c r="C42" s="142" t="s">
        <v>649</v>
      </c>
      <c r="D42" s="142" t="s">
        <v>651</v>
      </c>
      <c r="E42" s="22" t="s">
        <v>281</v>
      </c>
      <c r="F42" s="145">
        <v>0</v>
      </c>
      <c r="G42" s="119" t="s">
        <v>726</v>
      </c>
    </row>
    <row r="43" spans="1:7" ht="15" customHeight="1" x14ac:dyDescent="0.2">
      <c r="A43" s="21">
        <f t="shared" si="1"/>
        <v>1223</v>
      </c>
      <c r="B43" s="105" t="s">
        <v>280</v>
      </c>
      <c r="C43" s="296" t="s">
        <v>652</v>
      </c>
      <c r="D43" s="296" t="s">
        <v>649</v>
      </c>
      <c r="E43" s="22" t="s">
        <v>281</v>
      </c>
      <c r="F43" s="145">
        <v>0</v>
      </c>
      <c r="G43" s="119" t="s">
        <v>727</v>
      </c>
    </row>
    <row r="44" spans="1:7" ht="15" customHeight="1" x14ac:dyDescent="0.2">
      <c r="A44" s="21">
        <f t="shared" si="1"/>
        <v>1224</v>
      </c>
      <c r="B44" s="105" t="s">
        <v>280</v>
      </c>
      <c r="C44" s="296" t="s">
        <v>278</v>
      </c>
      <c r="D44" s="296" t="s">
        <v>278</v>
      </c>
      <c r="E44" s="22" t="s">
        <v>281</v>
      </c>
      <c r="F44" s="145">
        <v>0</v>
      </c>
      <c r="G44" s="119" t="s">
        <v>727</v>
      </c>
    </row>
    <row r="45" spans="1:7" ht="15" customHeight="1" x14ac:dyDescent="0.2">
      <c r="A45" s="21">
        <f t="shared" si="1"/>
        <v>1225</v>
      </c>
      <c r="B45" s="105" t="s">
        <v>280</v>
      </c>
      <c r="C45" s="296" t="s">
        <v>653</v>
      </c>
      <c r="D45" s="296" t="s">
        <v>278</v>
      </c>
      <c r="E45" s="22" t="s">
        <v>281</v>
      </c>
      <c r="F45" s="145">
        <v>0</v>
      </c>
      <c r="G45" s="119" t="s">
        <v>727</v>
      </c>
    </row>
    <row r="46" spans="1:7" ht="15" customHeight="1" x14ac:dyDescent="0.2">
      <c r="A46" s="21">
        <f t="shared" si="1"/>
        <v>1226</v>
      </c>
      <c r="B46" s="105" t="s">
        <v>280</v>
      </c>
      <c r="C46" s="296" t="s">
        <v>649</v>
      </c>
      <c r="D46" s="142" t="s">
        <v>278</v>
      </c>
      <c r="E46" s="22" t="s">
        <v>281</v>
      </c>
      <c r="F46" s="145">
        <v>0</v>
      </c>
      <c r="G46" s="119" t="s">
        <v>727</v>
      </c>
    </row>
    <row r="47" spans="1:7" ht="15" customHeight="1" x14ac:dyDescent="0.2">
      <c r="A47" s="21">
        <f t="shared" si="1"/>
        <v>1227</v>
      </c>
      <c r="B47" s="105" t="s">
        <v>655</v>
      </c>
      <c r="C47" s="296" t="s">
        <v>649</v>
      </c>
      <c r="D47" s="142" t="s">
        <v>649</v>
      </c>
      <c r="E47" s="22" t="s">
        <v>281</v>
      </c>
      <c r="F47" s="145">
        <v>0</v>
      </c>
      <c r="G47" s="119" t="s">
        <v>727</v>
      </c>
    </row>
    <row r="48" spans="1:7" ht="15" customHeight="1" x14ac:dyDescent="0.2">
      <c r="A48" s="21">
        <f t="shared" si="1"/>
        <v>1228</v>
      </c>
      <c r="B48" s="105" t="s">
        <v>659</v>
      </c>
      <c r="C48" s="296" t="s">
        <v>279</v>
      </c>
      <c r="D48" s="142" t="s">
        <v>651</v>
      </c>
      <c r="E48" s="22" t="s">
        <v>281</v>
      </c>
      <c r="F48" s="145">
        <v>0</v>
      </c>
      <c r="G48" s="119" t="s">
        <v>654</v>
      </c>
    </row>
    <row r="49" spans="1:7" ht="15" customHeight="1" x14ac:dyDescent="0.2">
      <c r="A49" s="21">
        <f t="shared" si="1"/>
        <v>1229</v>
      </c>
      <c r="B49" s="105" t="s">
        <v>662</v>
      </c>
      <c r="C49" s="296" t="s">
        <v>653</v>
      </c>
      <c r="D49" s="142" t="s">
        <v>278</v>
      </c>
      <c r="E49" s="22" t="s">
        <v>281</v>
      </c>
      <c r="F49" s="145">
        <v>0</v>
      </c>
      <c r="G49" s="119" t="s">
        <v>728</v>
      </c>
    </row>
    <row r="50" spans="1:7" ht="15" customHeight="1" x14ac:dyDescent="0.2">
      <c r="A50" s="21">
        <f t="shared" si="1"/>
        <v>1230</v>
      </c>
      <c r="B50" s="105" t="s">
        <v>662</v>
      </c>
      <c r="C50" s="296" t="s">
        <v>653</v>
      </c>
      <c r="D50" s="142" t="s">
        <v>278</v>
      </c>
      <c r="E50" s="22" t="s">
        <v>281</v>
      </c>
      <c r="F50" s="145">
        <v>0</v>
      </c>
      <c r="G50" s="119" t="s">
        <v>728</v>
      </c>
    </row>
    <row r="51" spans="1:7" ht="15" customHeight="1" x14ac:dyDescent="0.2">
      <c r="A51" s="21">
        <f t="shared" si="1"/>
        <v>1231</v>
      </c>
      <c r="B51" s="99" t="s">
        <v>666</v>
      </c>
      <c r="C51" s="142" t="s">
        <v>665</v>
      </c>
      <c r="D51" s="142" t="s">
        <v>665</v>
      </c>
      <c r="E51" s="22" t="s">
        <v>281</v>
      </c>
      <c r="F51" s="145">
        <v>0</v>
      </c>
      <c r="G51" s="119" t="s">
        <v>729</v>
      </c>
    </row>
    <row r="52" spans="1:7" ht="15" customHeight="1" x14ac:dyDescent="0.2">
      <c r="A52" s="21">
        <f t="shared" si="1"/>
        <v>1232</v>
      </c>
      <c r="B52" s="99" t="s">
        <v>666</v>
      </c>
      <c r="C52" s="142" t="s">
        <v>665</v>
      </c>
      <c r="D52" s="142" t="s">
        <v>665</v>
      </c>
      <c r="E52" s="22" t="s">
        <v>281</v>
      </c>
      <c r="F52" s="145">
        <v>0</v>
      </c>
      <c r="G52" s="119" t="s">
        <v>729</v>
      </c>
    </row>
    <row r="53" spans="1:7" ht="15" customHeight="1" x14ac:dyDescent="0.2">
      <c r="A53" s="21"/>
      <c r="C53" s="142"/>
      <c r="D53" s="142"/>
      <c r="E53" s="144"/>
      <c r="F53" s="145"/>
      <c r="G53" s="119"/>
    </row>
    <row r="54" spans="1:7" ht="15" customHeight="1" x14ac:dyDescent="0.2">
      <c r="A54" s="21"/>
      <c r="C54" s="142"/>
      <c r="D54" s="142"/>
      <c r="E54" s="144"/>
      <c r="F54" s="145"/>
      <c r="G54" s="119"/>
    </row>
    <row r="55" spans="1:7" ht="15" customHeight="1" x14ac:dyDescent="0.2">
      <c r="A55" s="207">
        <f>1+A52</f>
        <v>1233</v>
      </c>
      <c r="B55" s="105" t="s">
        <v>282</v>
      </c>
      <c r="C55" s="99" t="s">
        <v>279</v>
      </c>
      <c r="D55" s="142" t="s">
        <v>651</v>
      </c>
      <c r="E55" s="22" t="s">
        <v>281</v>
      </c>
      <c r="F55" s="145">
        <v>0</v>
      </c>
      <c r="G55" s="392" t="s">
        <v>730</v>
      </c>
    </row>
    <row r="56" spans="1:7" ht="15" customHeight="1" x14ac:dyDescent="0.2">
      <c r="A56" s="21">
        <f>1+A55</f>
        <v>1234</v>
      </c>
      <c r="B56" s="105" t="s">
        <v>282</v>
      </c>
      <c r="C56" s="99" t="s">
        <v>279</v>
      </c>
      <c r="D56" s="142" t="s">
        <v>712</v>
      </c>
      <c r="E56" s="22" t="s">
        <v>281</v>
      </c>
      <c r="F56" s="145">
        <v>0</v>
      </c>
      <c r="G56" s="392" t="s">
        <v>726</v>
      </c>
    </row>
    <row r="57" spans="1:7" ht="15" customHeight="1" x14ac:dyDescent="0.2">
      <c r="A57" s="21">
        <f t="shared" ref="A57:A67" si="2">1+A56</f>
        <v>1235</v>
      </c>
      <c r="B57" s="105" t="s">
        <v>282</v>
      </c>
      <c r="C57" s="99" t="s">
        <v>279</v>
      </c>
      <c r="D57" s="142" t="s">
        <v>713</v>
      </c>
      <c r="E57" s="22" t="s">
        <v>281</v>
      </c>
      <c r="F57" s="145">
        <v>0</v>
      </c>
      <c r="G57" s="392" t="s">
        <v>726</v>
      </c>
    </row>
    <row r="58" spans="1:7" ht="15" customHeight="1" x14ac:dyDescent="0.2">
      <c r="A58" s="21">
        <f t="shared" si="2"/>
        <v>1236</v>
      </c>
      <c r="B58" s="105" t="s">
        <v>282</v>
      </c>
      <c r="C58" s="99" t="s">
        <v>279</v>
      </c>
      <c r="D58" s="142" t="s">
        <v>649</v>
      </c>
      <c r="E58" s="22" t="s">
        <v>281</v>
      </c>
      <c r="F58" s="145">
        <v>0</v>
      </c>
      <c r="G58" s="392" t="s">
        <v>726</v>
      </c>
    </row>
    <row r="59" spans="1:7" ht="15" customHeight="1" x14ac:dyDescent="0.2">
      <c r="A59" s="21">
        <f t="shared" si="2"/>
        <v>1237</v>
      </c>
      <c r="B59" s="105" t="s">
        <v>282</v>
      </c>
      <c r="C59" s="99" t="s">
        <v>649</v>
      </c>
      <c r="D59" s="142" t="s">
        <v>278</v>
      </c>
      <c r="E59" s="22" t="s">
        <v>281</v>
      </c>
      <c r="F59" s="145">
        <v>0</v>
      </c>
      <c r="G59" s="119" t="s">
        <v>731</v>
      </c>
    </row>
    <row r="60" spans="1:7" ht="15" customHeight="1" x14ac:dyDescent="0.2">
      <c r="A60" s="21">
        <f t="shared" si="2"/>
        <v>1238</v>
      </c>
      <c r="B60" s="105" t="s">
        <v>282</v>
      </c>
      <c r="C60" s="99" t="s">
        <v>279</v>
      </c>
      <c r="D60" s="142" t="s">
        <v>649</v>
      </c>
      <c r="E60" s="22" t="s">
        <v>281</v>
      </c>
      <c r="F60" s="145">
        <v>0</v>
      </c>
      <c r="G60" s="392" t="s">
        <v>730</v>
      </c>
    </row>
    <row r="61" spans="1:7" ht="15" customHeight="1" x14ac:dyDescent="0.2">
      <c r="A61" s="21">
        <f t="shared" si="2"/>
        <v>1239</v>
      </c>
      <c r="B61" s="105" t="s">
        <v>282</v>
      </c>
      <c r="C61" s="99" t="s">
        <v>649</v>
      </c>
      <c r="D61" s="99" t="s">
        <v>653</v>
      </c>
      <c r="E61" s="22" t="s">
        <v>281</v>
      </c>
      <c r="F61" s="145">
        <v>0</v>
      </c>
      <c r="G61" s="119" t="s">
        <v>731</v>
      </c>
    </row>
    <row r="62" spans="1:7" ht="15" customHeight="1" x14ac:dyDescent="0.2">
      <c r="A62" s="21">
        <f t="shared" si="2"/>
        <v>1240</v>
      </c>
      <c r="B62" s="105" t="s">
        <v>282</v>
      </c>
      <c r="C62" s="99" t="s">
        <v>649</v>
      </c>
      <c r="D62" s="142" t="s">
        <v>649</v>
      </c>
      <c r="E62" s="22" t="s">
        <v>281</v>
      </c>
      <c r="F62" s="145">
        <v>0</v>
      </c>
      <c r="G62" s="119" t="s">
        <v>731</v>
      </c>
    </row>
    <row r="63" spans="1:7" ht="15" customHeight="1" x14ac:dyDescent="0.2">
      <c r="A63" s="21">
        <f t="shared" si="2"/>
        <v>1241</v>
      </c>
      <c r="B63" s="105" t="s">
        <v>282</v>
      </c>
      <c r="C63" s="99" t="s">
        <v>279</v>
      </c>
      <c r="D63" s="142" t="s">
        <v>279</v>
      </c>
      <c r="E63" s="22" t="s">
        <v>281</v>
      </c>
      <c r="F63" s="145">
        <v>0</v>
      </c>
      <c r="G63" s="119" t="s">
        <v>731</v>
      </c>
    </row>
    <row r="64" spans="1:7" ht="15" customHeight="1" x14ac:dyDescent="0.2">
      <c r="A64" s="21">
        <f t="shared" si="2"/>
        <v>1242</v>
      </c>
      <c r="B64" s="105" t="s">
        <v>282</v>
      </c>
      <c r="C64" s="99" t="s">
        <v>279</v>
      </c>
      <c r="D64" s="11" t="s">
        <v>714</v>
      </c>
      <c r="E64" s="22" t="s">
        <v>281</v>
      </c>
      <c r="F64" s="145">
        <v>0</v>
      </c>
      <c r="G64" s="392" t="s">
        <v>726</v>
      </c>
    </row>
    <row r="65" spans="1:7" ht="15" customHeight="1" x14ac:dyDescent="0.2">
      <c r="A65" s="21">
        <f t="shared" si="2"/>
        <v>1243</v>
      </c>
      <c r="B65" s="105" t="s">
        <v>282</v>
      </c>
      <c r="C65" s="99" t="s">
        <v>279</v>
      </c>
      <c r="D65" s="11" t="s">
        <v>715</v>
      </c>
      <c r="E65" s="22" t="s">
        <v>281</v>
      </c>
      <c r="F65" s="145">
        <v>0</v>
      </c>
      <c r="G65" s="392" t="s">
        <v>726</v>
      </c>
    </row>
    <row r="66" spans="1:7" ht="15" customHeight="1" x14ac:dyDescent="0.2">
      <c r="A66" s="21">
        <f t="shared" si="2"/>
        <v>1244</v>
      </c>
      <c r="B66" s="105" t="s">
        <v>282</v>
      </c>
      <c r="C66" s="99" t="s">
        <v>279</v>
      </c>
      <c r="D66" s="11" t="s">
        <v>716</v>
      </c>
      <c r="E66" s="22" t="s">
        <v>281</v>
      </c>
      <c r="F66" s="145">
        <v>0</v>
      </c>
      <c r="G66" s="392" t="s">
        <v>726</v>
      </c>
    </row>
    <row r="67" spans="1:7" ht="15" customHeight="1" x14ac:dyDescent="0.2">
      <c r="A67" s="21">
        <f t="shared" si="2"/>
        <v>1245</v>
      </c>
      <c r="B67" s="105" t="s">
        <v>282</v>
      </c>
      <c r="C67" s="99" t="s">
        <v>279</v>
      </c>
      <c r="D67" s="99" t="s">
        <v>657</v>
      </c>
      <c r="E67" s="22" t="s">
        <v>281</v>
      </c>
      <c r="F67" s="145">
        <v>0</v>
      </c>
      <c r="G67" s="119" t="s">
        <v>731</v>
      </c>
    </row>
    <row r="68" spans="1:7" ht="15" customHeight="1" x14ac:dyDescent="0.2">
      <c r="A68" s="21"/>
      <c r="C68" s="99"/>
      <c r="D68" s="142"/>
      <c r="E68" s="146"/>
      <c r="F68" s="144"/>
      <c r="G68" s="119"/>
    </row>
    <row r="69" spans="1:7" ht="15" customHeight="1" x14ac:dyDescent="0.2">
      <c r="A69" s="21"/>
      <c r="C69" s="99"/>
      <c r="D69" s="142"/>
      <c r="E69" s="146"/>
      <c r="F69" s="144"/>
      <c r="G69" s="119"/>
    </row>
    <row r="70" spans="1:7" ht="15" customHeight="1" x14ac:dyDescent="0.2">
      <c r="A70" s="21">
        <v>1301</v>
      </c>
      <c r="B70" s="105" t="s">
        <v>283</v>
      </c>
      <c r="C70" s="99" t="str">
        <f t="shared" ref="C70:D101" si="3">C21</f>
        <v>Front RP 9350'</v>
      </c>
      <c r="D70" s="99" t="str">
        <f t="shared" si="3"/>
        <v>Pit Repository Ramp 8770' to 8520'</v>
      </c>
      <c r="E70" s="146">
        <f>10360*2</f>
        <v>20720</v>
      </c>
      <c r="F70" s="22" t="s">
        <v>284</v>
      </c>
      <c r="G70" s="119">
        <v>793</v>
      </c>
    </row>
    <row r="71" spans="1:7" ht="15" customHeight="1" x14ac:dyDescent="0.2">
      <c r="A71" s="21">
        <f>1+A70</f>
        <v>1302</v>
      </c>
      <c r="B71" s="105" t="s">
        <v>283</v>
      </c>
      <c r="C71" s="99" t="str">
        <f t="shared" si="3"/>
        <v>Front RP 8850' to 8950'</v>
      </c>
      <c r="D71" s="99" t="str">
        <f t="shared" si="3"/>
        <v>Pit Repository 8870 to 8900</v>
      </c>
      <c r="E71" s="146">
        <f>9810*2</f>
        <v>19620</v>
      </c>
      <c r="F71" s="22" t="s">
        <v>284</v>
      </c>
      <c r="G71" s="119">
        <v>793</v>
      </c>
    </row>
    <row r="72" spans="1:7" ht="15" customHeight="1" x14ac:dyDescent="0.2">
      <c r="A72" s="21">
        <f t="shared" ref="A72:A101" si="4">1+A71</f>
        <v>1303</v>
      </c>
      <c r="B72" s="105" t="s">
        <v>283</v>
      </c>
      <c r="C72" s="99" t="str">
        <f t="shared" si="3"/>
        <v>Front RP 8950' to 9050'</v>
      </c>
      <c r="D72" s="99" t="str">
        <f t="shared" si="3"/>
        <v>Pit Repository 8870 to 8900</v>
      </c>
      <c r="E72" s="146">
        <f>9310*2</f>
        <v>18620</v>
      </c>
      <c r="F72" s="22" t="s">
        <v>284</v>
      </c>
      <c r="G72" s="119">
        <v>793</v>
      </c>
    </row>
    <row r="73" spans="1:7" ht="15" customHeight="1" x14ac:dyDescent="0.2">
      <c r="A73" s="21">
        <f t="shared" si="4"/>
        <v>1304</v>
      </c>
      <c r="B73" s="105" t="s">
        <v>283</v>
      </c>
      <c r="C73" s="99" t="str">
        <f t="shared" si="3"/>
        <v>Front RP 8750 to 8850</v>
      </c>
      <c r="D73" s="99" t="str">
        <f t="shared" si="3"/>
        <v>Pit Repository 8770 to 8900</v>
      </c>
      <c r="E73" s="146">
        <f>9910*2</f>
        <v>19820</v>
      </c>
      <c r="F73" s="22" t="s">
        <v>284</v>
      </c>
      <c r="G73" s="119">
        <v>793</v>
      </c>
    </row>
    <row r="74" spans="1:7" ht="15" customHeight="1" x14ac:dyDescent="0.2">
      <c r="A74" s="21">
        <f t="shared" si="4"/>
        <v>1305</v>
      </c>
      <c r="B74" s="105" t="s">
        <v>283</v>
      </c>
      <c r="C74" s="99" t="str">
        <f t="shared" si="3"/>
        <v>Front RP 8550 to 8650</v>
      </c>
      <c r="D74" s="99" t="str">
        <f t="shared" si="3"/>
        <v>Pit Repository 8900 to 9130</v>
      </c>
      <c r="E74" s="146">
        <f>11560*2</f>
        <v>23120</v>
      </c>
      <c r="F74" s="22" t="s">
        <v>284</v>
      </c>
      <c r="G74" s="119">
        <v>793</v>
      </c>
    </row>
    <row r="75" spans="1:7" ht="15" customHeight="1" x14ac:dyDescent="0.2">
      <c r="A75" s="21">
        <f t="shared" si="4"/>
        <v>1306</v>
      </c>
      <c r="B75" s="105" t="s">
        <v>283</v>
      </c>
      <c r="C75" s="99" t="str">
        <f t="shared" si="3"/>
        <v>Front RP 8450 to 8550</v>
      </c>
      <c r="D75" s="99" t="str">
        <f t="shared" si="3"/>
        <v>Pit Repository 8900 to 9130</v>
      </c>
      <c r="E75" s="146">
        <f>11360*2</f>
        <v>22720</v>
      </c>
      <c r="F75" s="22" t="s">
        <v>284</v>
      </c>
      <c r="G75" s="119">
        <v>793</v>
      </c>
    </row>
    <row r="76" spans="1:7" ht="15" customHeight="1" x14ac:dyDescent="0.2">
      <c r="A76" s="21">
        <f t="shared" si="4"/>
        <v>1307</v>
      </c>
      <c r="B76" s="105" t="s">
        <v>283</v>
      </c>
      <c r="C76" s="99" t="str">
        <f t="shared" si="3"/>
        <v>Front RP 9250 to 9350</v>
      </c>
      <c r="D76" s="99" t="str">
        <f t="shared" si="3"/>
        <v>Pit Repository Ramp 8770 to 8520</v>
      </c>
      <c r="E76" s="146">
        <f>8660*2</f>
        <v>17320</v>
      </c>
      <c r="F76" s="22" t="s">
        <v>284</v>
      </c>
      <c r="G76" s="119">
        <v>793</v>
      </c>
    </row>
    <row r="77" spans="1:7" ht="15" customHeight="1" x14ac:dyDescent="0.2">
      <c r="A77" s="21">
        <f t="shared" si="4"/>
        <v>1308</v>
      </c>
      <c r="B77" s="105" t="s">
        <v>283</v>
      </c>
      <c r="C77" s="99" t="str">
        <f t="shared" si="3"/>
        <v>Front RP 9250 to 9350</v>
      </c>
      <c r="D77" s="99" t="str">
        <f t="shared" si="3"/>
        <v>Pit Repository 8520 to 8650</v>
      </c>
      <c r="E77" s="146">
        <f>7760*2</f>
        <v>15520</v>
      </c>
      <c r="F77" s="22" t="s">
        <v>284</v>
      </c>
      <c r="G77" s="119">
        <v>793</v>
      </c>
    </row>
    <row r="78" spans="1:7" ht="15" customHeight="1" x14ac:dyDescent="0.2">
      <c r="A78" s="21">
        <f t="shared" si="4"/>
        <v>1309</v>
      </c>
      <c r="B78" s="105" t="s">
        <v>283</v>
      </c>
      <c r="C78" s="99" t="str">
        <f t="shared" si="3"/>
        <v>Front RP 9050 to 9150</v>
      </c>
      <c r="D78" s="99" t="str">
        <f t="shared" si="3"/>
        <v>Pit Repository 8650 to 8770</v>
      </c>
      <c r="E78" s="146">
        <f>8090*2</f>
        <v>16180</v>
      </c>
      <c r="F78" s="22" t="s">
        <v>284</v>
      </c>
      <c r="G78" s="119">
        <v>793</v>
      </c>
    </row>
    <row r="79" spans="1:7" ht="15" customHeight="1" x14ac:dyDescent="0.2">
      <c r="A79" s="21">
        <f t="shared" si="4"/>
        <v>1310</v>
      </c>
      <c r="B79" s="105" t="s">
        <v>283</v>
      </c>
      <c r="C79" s="99" t="str">
        <f t="shared" si="3"/>
        <v>Front RP 8950 to 9050</v>
      </c>
      <c r="D79" s="99" t="str">
        <f t="shared" si="3"/>
        <v>Pit Repository 8650 to 8770</v>
      </c>
      <c r="E79" s="146">
        <f>7990*2</f>
        <v>15980</v>
      </c>
      <c r="F79" s="22" t="s">
        <v>284</v>
      </c>
      <c r="G79" s="119">
        <v>793</v>
      </c>
    </row>
    <row r="80" spans="1:7" ht="15" customHeight="1" x14ac:dyDescent="0.2">
      <c r="A80" s="21">
        <f t="shared" si="4"/>
        <v>1311</v>
      </c>
      <c r="B80" s="105" t="s">
        <v>283</v>
      </c>
      <c r="C80" s="99" t="str">
        <f t="shared" si="3"/>
        <v>Front RP 8650 to 8750</v>
      </c>
      <c r="D80" s="99" t="str">
        <f t="shared" si="3"/>
        <v>Blind Gulch Bottom</v>
      </c>
      <c r="E80" s="146">
        <f>7620*2</f>
        <v>15240</v>
      </c>
      <c r="F80" s="22" t="s">
        <v>284</v>
      </c>
      <c r="G80" s="119">
        <v>793</v>
      </c>
    </row>
    <row r="81" spans="1:7" ht="15" customHeight="1" x14ac:dyDescent="0.2">
      <c r="A81" s="21">
        <f t="shared" si="4"/>
        <v>1312</v>
      </c>
      <c r="B81" s="105" t="s">
        <v>283</v>
      </c>
      <c r="C81" s="99" t="str">
        <f t="shared" si="3"/>
        <v>Front RP 9150 to 9250</v>
      </c>
      <c r="D81" s="99" t="str">
        <f t="shared" si="3"/>
        <v>Pit Repository 8520 to 8650</v>
      </c>
      <c r="E81" s="146">
        <f>7260*2</f>
        <v>14520</v>
      </c>
      <c r="F81" s="22" t="s">
        <v>284</v>
      </c>
      <c r="G81" s="119">
        <v>793</v>
      </c>
    </row>
    <row r="82" spans="1:7" ht="15" customHeight="1" x14ac:dyDescent="0.2">
      <c r="A82" s="21">
        <f t="shared" si="4"/>
        <v>1313</v>
      </c>
      <c r="B82" s="105" t="s">
        <v>283</v>
      </c>
      <c r="C82" s="99" t="str">
        <f t="shared" si="3"/>
        <v>Front RP 8550 to 8650</v>
      </c>
      <c r="D82" s="99" t="str">
        <f t="shared" si="3"/>
        <v>Blind Gulch Bottom</v>
      </c>
      <c r="E82" s="146">
        <f>7320*2</f>
        <v>14640</v>
      </c>
      <c r="F82" s="22" t="s">
        <v>284</v>
      </c>
      <c r="G82" s="119">
        <v>793</v>
      </c>
    </row>
    <row r="83" spans="1:7" ht="15" customHeight="1" x14ac:dyDescent="0.2">
      <c r="A83" s="21">
        <f t="shared" si="4"/>
        <v>1314</v>
      </c>
      <c r="B83" s="105" t="s">
        <v>283</v>
      </c>
      <c r="C83" s="99" t="str">
        <f t="shared" si="3"/>
        <v>Front RP 9050 to 9150</v>
      </c>
      <c r="D83" s="99" t="str">
        <f t="shared" si="3"/>
        <v>Pit Repository 8520 to 8650</v>
      </c>
      <c r="E83" s="146">
        <f>6960*2</f>
        <v>13920</v>
      </c>
      <c r="F83" s="22" t="s">
        <v>284</v>
      </c>
      <c r="G83" s="119">
        <v>793</v>
      </c>
    </row>
    <row r="84" spans="1:7" ht="15" customHeight="1" x14ac:dyDescent="0.2">
      <c r="A84" s="21">
        <f t="shared" si="4"/>
        <v>1315</v>
      </c>
      <c r="B84" s="105" t="s">
        <v>283</v>
      </c>
      <c r="C84" s="99" t="str">
        <f t="shared" si="3"/>
        <v>Front RP 8750 to 8850</v>
      </c>
      <c r="D84" s="99" t="str">
        <f t="shared" si="3"/>
        <v>Pit Repository 8650 to 8770</v>
      </c>
      <c r="E84" s="146">
        <f>6810*2</f>
        <v>13620</v>
      </c>
      <c r="F84" s="22" t="s">
        <v>284</v>
      </c>
      <c r="G84" s="119">
        <v>793</v>
      </c>
    </row>
    <row r="85" spans="1:7" ht="15" customHeight="1" x14ac:dyDescent="0.2">
      <c r="A85" s="21">
        <f t="shared" si="4"/>
        <v>1316</v>
      </c>
      <c r="B85" s="105" t="s">
        <v>283</v>
      </c>
      <c r="C85" s="99" t="str">
        <f t="shared" si="3"/>
        <v>Front RP 8650 to 8750</v>
      </c>
      <c r="D85" s="99" t="str">
        <f t="shared" si="3"/>
        <v>Pit Repository 8650 to 8770</v>
      </c>
      <c r="E85" s="146">
        <f>7010*2</f>
        <v>14020</v>
      </c>
      <c r="F85" s="22" t="s">
        <v>284</v>
      </c>
      <c r="G85" s="119">
        <v>793</v>
      </c>
    </row>
    <row r="86" spans="1:7" ht="15" customHeight="1" x14ac:dyDescent="0.2">
      <c r="A86" s="21">
        <f t="shared" si="4"/>
        <v>1317</v>
      </c>
      <c r="B86" s="105" t="s">
        <v>283</v>
      </c>
      <c r="C86" s="99" t="str">
        <f t="shared" si="3"/>
        <v>Front RP 9350 and above</v>
      </c>
      <c r="D86" s="99" t="str">
        <f t="shared" si="3"/>
        <v>Pit Repository Top</v>
      </c>
      <c r="E86" s="146">
        <f>1500*2</f>
        <v>3000</v>
      </c>
      <c r="F86" s="22" t="s">
        <v>284</v>
      </c>
      <c r="G86" s="119">
        <v>793</v>
      </c>
    </row>
    <row r="87" spans="1:7" ht="15" customHeight="1" x14ac:dyDescent="0.2">
      <c r="A87" s="21">
        <f t="shared" si="4"/>
        <v>1318</v>
      </c>
      <c r="B87" s="105" t="s">
        <v>283</v>
      </c>
      <c r="C87" s="99" t="str">
        <f t="shared" si="3"/>
        <v>Spring Gulch RP</v>
      </c>
      <c r="D87" s="99" t="str">
        <f t="shared" si="3"/>
        <v>Blind Gulch RP</v>
      </c>
      <c r="E87" s="146">
        <f>4000*2</f>
        <v>8000</v>
      </c>
      <c r="F87" s="22" t="s">
        <v>284</v>
      </c>
      <c r="G87" s="119">
        <v>777</v>
      </c>
    </row>
    <row r="88" spans="1:7" ht="15" customHeight="1" x14ac:dyDescent="0.2">
      <c r="A88" s="21">
        <f t="shared" si="4"/>
        <v>1319</v>
      </c>
      <c r="B88" s="105" t="s">
        <v>283</v>
      </c>
      <c r="C88" s="99" t="str">
        <f t="shared" si="3"/>
        <v>Spring Gulch RP</v>
      </c>
      <c r="D88" s="99" t="str">
        <f t="shared" si="3"/>
        <v>Pit Repository</v>
      </c>
      <c r="E88" s="146">
        <f>11760*2</f>
        <v>23520</v>
      </c>
      <c r="F88" s="22" t="s">
        <v>284</v>
      </c>
      <c r="G88" s="119">
        <v>777</v>
      </c>
    </row>
    <row r="89" spans="1:7" ht="15" customHeight="1" x14ac:dyDescent="0.2">
      <c r="A89" s="21">
        <f t="shared" si="4"/>
        <v>1320</v>
      </c>
      <c r="B89" s="105" t="s">
        <v>283</v>
      </c>
      <c r="C89" s="99" t="str">
        <f t="shared" si="3"/>
        <v>Blind Gulch RP</v>
      </c>
      <c r="D89" s="99" t="str">
        <f t="shared" si="3"/>
        <v>Blind Gulch RP</v>
      </c>
      <c r="E89" s="146">
        <f>1500*2</f>
        <v>3000</v>
      </c>
      <c r="F89" s="22" t="s">
        <v>284</v>
      </c>
      <c r="G89" s="119">
        <v>777</v>
      </c>
    </row>
    <row r="90" spans="1:7" ht="15" customHeight="1" x14ac:dyDescent="0.2">
      <c r="A90" s="21">
        <f t="shared" si="4"/>
        <v>1321</v>
      </c>
      <c r="B90" s="105" t="s">
        <v>283</v>
      </c>
      <c r="C90" s="99" t="str">
        <f t="shared" si="3"/>
        <v>Front RP</v>
      </c>
      <c r="D90" s="99" t="str">
        <f t="shared" si="3"/>
        <v>Front RP</v>
      </c>
      <c r="E90" s="146">
        <f>2500*2</f>
        <v>5000</v>
      </c>
      <c r="F90" s="22" t="s">
        <v>284</v>
      </c>
      <c r="G90" s="119">
        <v>777</v>
      </c>
    </row>
    <row r="91" spans="1:7" ht="15" customHeight="1" x14ac:dyDescent="0.2">
      <c r="A91" s="21">
        <f t="shared" si="4"/>
        <v>1322</v>
      </c>
      <c r="B91" s="105" t="s">
        <v>283</v>
      </c>
      <c r="C91" s="99" t="str">
        <f t="shared" si="3"/>
        <v>Front RP</v>
      </c>
      <c r="D91" s="99" t="str">
        <f t="shared" si="3"/>
        <v>Pit Repository</v>
      </c>
      <c r="E91" s="146">
        <f>9310*2</f>
        <v>18620</v>
      </c>
      <c r="F91" s="22" t="s">
        <v>284</v>
      </c>
      <c r="G91" s="119">
        <v>777</v>
      </c>
    </row>
    <row r="92" spans="1:7" ht="15" customHeight="1" x14ac:dyDescent="0.2">
      <c r="A92" s="21">
        <f t="shared" si="4"/>
        <v>1323</v>
      </c>
      <c r="B92" s="105" t="s">
        <v>283</v>
      </c>
      <c r="C92" s="99" t="str">
        <f t="shared" si="3"/>
        <v>Front RP Scars</v>
      </c>
      <c r="D92" s="99" t="str">
        <f t="shared" si="3"/>
        <v>Front RP</v>
      </c>
      <c r="E92" s="146">
        <f>3300*2</f>
        <v>6600</v>
      </c>
      <c r="F92" s="22" t="s">
        <v>284</v>
      </c>
      <c r="G92" s="119">
        <v>740</v>
      </c>
    </row>
    <row r="93" spans="1:7" ht="15" customHeight="1" x14ac:dyDescent="0.2">
      <c r="A93" s="21">
        <f t="shared" si="4"/>
        <v>1324</v>
      </c>
      <c r="B93" s="105" t="s">
        <v>283</v>
      </c>
      <c r="C93" s="99" t="str">
        <f t="shared" si="3"/>
        <v>Sugar Shack West RP</v>
      </c>
      <c r="D93" s="99" t="str">
        <f t="shared" si="3"/>
        <v>Sugar Shack West RP</v>
      </c>
      <c r="E93" s="146">
        <f>7276*2</f>
        <v>14552</v>
      </c>
      <c r="F93" s="22" t="s">
        <v>284</v>
      </c>
      <c r="G93" s="119">
        <v>740</v>
      </c>
    </row>
    <row r="94" spans="1:7" ht="15" customHeight="1" x14ac:dyDescent="0.2">
      <c r="A94" s="21">
        <f t="shared" si="4"/>
        <v>1325</v>
      </c>
      <c r="B94" s="105" t="s">
        <v>283</v>
      </c>
      <c r="C94" s="99" t="str">
        <f t="shared" si="3"/>
        <v>Goathill South RP</v>
      </c>
      <c r="D94" s="99" t="str">
        <f t="shared" si="3"/>
        <v>Sugar Shack West RP</v>
      </c>
      <c r="E94" s="146">
        <f>7455*4</f>
        <v>29820</v>
      </c>
      <c r="F94" s="22" t="s">
        <v>284</v>
      </c>
      <c r="G94" s="119">
        <v>740</v>
      </c>
    </row>
    <row r="95" spans="1:7" ht="15" customHeight="1" x14ac:dyDescent="0.2">
      <c r="A95" s="21">
        <f t="shared" si="4"/>
        <v>1326</v>
      </c>
      <c r="B95" s="105" t="s">
        <v>283</v>
      </c>
      <c r="C95" s="99" t="str">
        <f t="shared" si="3"/>
        <v>Front RP</v>
      </c>
      <c r="D95" s="99" t="str">
        <f t="shared" si="3"/>
        <v>Sugar Shack West RP</v>
      </c>
      <c r="E95" s="146">
        <f>8682*2</f>
        <v>17364</v>
      </c>
      <c r="F95" s="22" t="s">
        <v>284</v>
      </c>
      <c r="G95" s="119">
        <v>740</v>
      </c>
    </row>
    <row r="96" spans="1:7" ht="15" customHeight="1" x14ac:dyDescent="0.2">
      <c r="A96" s="21">
        <f t="shared" si="4"/>
        <v>1327</v>
      </c>
      <c r="B96" s="105" t="s">
        <v>283</v>
      </c>
      <c r="C96" s="99" t="str">
        <f t="shared" si="3"/>
        <v>Front RP</v>
      </c>
      <c r="D96" s="99" t="str">
        <f t="shared" si="3"/>
        <v>Front RP</v>
      </c>
      <c r="E96" s="146">
        <f>1500*2</f>
        <v>3000</v>
      </c>
      <c r="F96" s="22" t="s">
        <v>284</v>
      </c>
      <c r="G96" s="119">
        <v>740</v>
      </c>
    </row>
    <row r="97" spans="1:7" ht="15" customHeight="1" x14ac:dyDescent="0.2">
      <c r="A97" s="21">
        <f t="shared" si="4"/>
        <v>1328</v>
      </c>
      <c r="B97" s="105" t="s">
        <v>283</v>
      </c>
      <c r="C97" s="99" t="str">
        <f t="shared" si="3"/>
        <v>Spring Gulch RP</v>
      </c>
      <c r="D97" s="99" t="str">
        <f t="shared" si="3"/>
        <v>Pit Repository</v>
      </c>
      <c r="E97" s="146">
        <f>2000*2</f>
        <v>4000</v>
      </c>
      <c r="F97" s="22" t="s">
        <v>284</v>
      </c>
      <c r="G97" s="119">
        <v>740</v>
      </c>
    </row>
    <row r="98" spans="1:7" ht="15" customHeight="1" x14ac:dyDescent="0.2">
      <c r="A98" s="21">
        <f t="shared" si="4"/>
        <v>1329</v>
      </c>
      <c r="B98" s="105" t="s">
        <v>283</v>
      </c>
      <c r="C98" s="99" t="str">
        <f t="shared" si="3"/>
        <v>Goathill South RP</v>
      </c>
      <c r="D98" s="99" t="str">
        <f t="shared" si="3"/>
        <v>Sugar Shack West RP</v>
      </c>
      <c r="E98" s="146">
        <f>1050*2</f>
        <v>2100</v>
      </c>
      <c r="F98" s="22" t="s">
        <v>284</v>
      </c>
      <c r="G98" s="119">
        <v>740</v>
      </c>
    </row>
    <row r="99" spans="1:7" ht="15" customHeight="1" x14ac:dyDescent="0.2">
      <c r="A99" s="21">
        <f t="shared" si="4"/>
        <v>1330</v>
      </c>
      <c r="B99" s="105" t="s">
        <v>283</v>
      </c>
      <c r="C99" s="99" t="str">
        <f t="shared" si="3"/>
        <v>Goathill South RP</v>
      </c>
      <c r="D99" s="99" t="str">
        <f t="shared" si="3"/>
        <v>Sugar Shack West RP</v>
      </c>
      <c r="E99" s="146">
        <f>3000*2</f>
        <v>6000</v>
      </c>
      <c r="F99" s="22" t="s">
        <v>284</v>
      </c>
      <c r="G99" s="119">
        <v>740</v>
      </c>
    </row>
    <row r="100" spans="1:7" ht="15" customHeight="1" x14ac:dyDescent="0.2">
      <c r="A100" s="21">
        <f t="shared" si="4"/>
        <v>1331</v>
      </c>
      <c r="B100" s="105" t="s">
        <v>667</v>
      </c>
      <c r="C100" s="99" t="str">
        <f t="shared" si="3"/>
        <v>Spring Gulch - GHN HR</v>
      </c>
      <c r="D100" s="99" t="str">
        <f t="shared" si="3"/>
        <v>Spring Gulch - GHN HR</v>
      </c>
      <c r="E100" s="146">
        <f>5280*2</f>
        <v>10560</v>
      </c>
      <c r="F100" s="22" t="s">
        <v>284</v>
      </c>
      <c r="G100" s="119">
        <v>740</v>
      </c>
    </row>
    <row r="101" spans="1:7" ht="15" customHeight="1" x14ac:dyDescent="0.2">
      <c r="A101" s="21">
        <f t="shared" si="4"/>
        <v>1332</v>
      </c>
      <c r="B101" s="105" t="s">
        <v>667</v>
      </c>
      <c r="C101" s="99" t="str">
        <f t="shared" si="3"/>
        <v>Spring Gulch - GHN HR</v>
      </c>
      <c r="D101" s="99" t="str">
        <f t="shared" si="3"/>
        <v>Spring Gulch - GHN HR</v>
      </c>
      <c r="E101" s="146">
        <f>5280*8</f>
        <v>42240</v>
      </c>
      <c r="F101" s="22" t="s">
        <v>284</v>
      </c>
      <c r="G101" s="119">
        <v>740</v>
      </c>
    </row>
    <row r="102" spans="1:7" ht="15" customHeight="1" x14ac:dyDescent="0.2">
      <c r="A102" s="21"/>
      <c r="C102" s="99"/>
      <c r="D102" s="142"/>
      <c r="E102" s="146"/>
      <c r="F102" s="144"/>
      <c r="G102" s="119"/>
    </row>
    <row r="103" spans="1:7" ht="15" customHeight="1" x14ac:dyDescent="0.2">
      <c r="A103" s="21"/>
      <c r="C103" s="99"/>
      <c r="D103" s="142"/>
      <c r="E103" s="146"/>
      <c r="F103" s="144"/>
      <c r="G103" s="119"/>
    </row>
    <row r="104" spans="1:7" ht="15" customHeight="1" x14ac:dyDescent="0.2">
      <c r="A104" s="21">
        <f>1+A101</f>
        <v>1333</v>
      </c>
      <c r="B104" s="105" t="s">
        <v>285</v>
      </c>
      <c r="C104" s="99" t="str">
        <f t="shared" ref="C104:D116" si="5">C55</f>
        <v>Spring Gulch RP</v>
      </c>
      <c r="D104" s="99" t="str">
        <f t="shared" si="5"/>
        <v>Pit Repository</v>
      </c>
      <c r="E104" s="146">
        <f>6350*2</f>
        <v>12700</v>
      </c>
      <c r="F104" s="22" t="s">
        <v>284</v>
      </c>
      <c r="G104" s="119">
        <v>777</v>
      </c>
    </row>
    <row r="105" spans="1:7" x14ac:dyDescent="0.2">
      <c r="A105" s="21">
        <f t="shared" ref="A105:A117" si="6">1+A104</f>
        <v>1334</v>
      </c>
      <c r="B105" s="105" t="s">
        <v>285</v>
      </c>
      <c r="C105" s="99" t="str">
        <f t="shared" si="5"/>
        <v>Spring Gulch RP</v>
      </c>
      <c r="D105" s="99" t="str">
        <f t="shared" si="5"/>
        <v>Blind Gulch/Sulphur RP Middle</v>
      </c>
      <c r="E105" s="146">
        <f>4490*2</f>
        <v>8980</v>
      </c>
      <c r="F105" s="22" t="s">
        <v>284</v>
      </c>
      <c r="G105" s="119">
        <v>777</v>
      </c>
    </row>
    <row r="106" spans="1:7" x14ac:dyDescent="0.2">
      <c r="A106" s="21">
        <f t="shared" si="6"/>
        <v>1335</v>
      </c>
      <c r="B106" s="105" t="s">
        <v>285</v>
      </c>
      <c r="C106" s="99" t="str">
        <f t="shared" si="5"/>
        <v>Spring Gulch RP</v>
      </c>
      <c r="D106" s="99" t="str">
        <f t="shared" si="5"/>
        <v>Blind Gulch/Sulphur RP Bottom</v>
      </c>
      <c r="E106" s="146">
        <f>6580*2</f>
        <v>13160</v>
      </c>
      <c r="F106" s="22" t="s">
        <v>284</v>
      </c>
      <c r="G106" s="119">
        <v>777</v>
      </c>
    </row>
    <row r="107" spans="1:7" x14ac:dyDescent="0.2">
      <c r="A107" s="21">
        <f t="shared" si="6"/>
        <v>1336</v>
      </c>
      <c r="B107" s="105" t="s">
        <v>285</v>
      </c>
      <c r="C107" s="99" t="str">
        <f t="shared" si="5"/>
        <v>Spring Gulch RP</v>
      </c>
      <c r="D107" s="99" t="str">
        <f t="shared" si="5"/>
        <v>Front RP</v>
      </c>
      <c r="E107" s="146">
        <f>16695*2</f>
        <v>33390</v>
      </c>
      <c r="F107" s="22" t="s">
        <v>284</v>
      </c>
      <c r="G107" s="119">
        <v>777</v>
      </c>
    </row>
    <row r="108" spans="1:7" x14ac:dyDescent="0.2">
      <c r="A108" s="21">
        <f t="shared" si="6"/>
        <v>1337</v>
      </c>
      <c r="B108" s="105" t="s">
        <v>285</v>
      </c>
      <c r="C108" s="99" t="str">
        <f t="shared" si="5"/>
        <v>Front RP</v>
      </c>
      <c r="D108" s="99" t="str">
        <f t="shared" si="5"/>
        <v>Sugar Shack West RP</v>
      </c>
      <c r="E108" s="146">
        <f>6800*2</f>
        <v>13600</v>
      </c>
      <c r="F108" s="22" t="s">
        <v>284</v>
      </c>
      <c r="G108" s="119">
        <v>740</v>
      </c>
    </row>
    <row r="109" spans="1:7" x14ac:dyDescent="0.2">
      <c r="A109" s="21">
        <f t="shared" si="6"/>
        <v>1338</v>
      </c>
      <c r="B109" s="105" t="s">
        <v>285</v>
      </c>
      <c r="C109" s="99" t="str">
        <f t="shared" si="5"/>
        <v>Spring Gulch RP</v>
      </c>
      <c r="D109" s="99" t="str">
        <f t="shared" si="5"/>
        <v>Front RP</v>
      </c>
      <c r="E109" s="146">
        <f>16695*2</f>
        <v>33390</v>
      </c>
      <c r="F109" s="22" t="s">
        <v>284</v>
      </c>
      <c r="G109" s="119">
        <v>777</v>
      </c>
    </row>
    <row r="110" spans="1:7" x14ac:dyDescent="0.2">
      <c r="A110" s="21">
        <f t="shared" si="6"/>
        <v>1339</v>
      </c>
      <c r="B110" s="105" t="s">
        <v>285</v>
      </c>
      <c r="C110" s="99" t="str">
        <f t="shared" si="5"/>
        <v>Front RP</v>
      </c>
      <c r="D110" s="99" t="str">
        <f t="shared" si="5"/>
        <v>Goathill South RP</v>
      </c>
      <c r="E110" s="146">
        <f>5900*2</f>
        <v>11800</v>
      </c>
      <c r="F110" s="22" t="s">
        <v>284</v>
      </c>
      <c r="G110" s="119">
        <v>740</v>
      </c>
    </row>
    <row r="111" spans="1:7" x14ac:dyDescent="0.2">
      <c r="A111" s="21">
        <f t="shared" si="6"/>
        <v>1340</v>
      </c>
      <c r="B111" s="105" t="s">
        <v>285</v>
      </c>
      <c r="C111" s="99" t="str">
        <f t="shared" si="5"/>
        <v>Front RP</v>
      </c>
      <c r="D111" s="99" t="str">
        <f t="shared" si="5"/>
        <v>Front RP</v>
      </c>
      <c r="E111" s="146">
        <f>3300*2</f>
        <v>6600</v>
      </c>
      <c r="F111" s="22" t="s">
        <v>284</v>
      </c>
      <c r="G111" s="119">
        <v>740</v>
      </c>
    </row>
    <row r="112" spans="1:7" x14ac:dyDescent="0.2">
      <c r="A112" s="21">
        <f t="shared" si="6"/>
        <v>1341</v>
      </c>
      <c r="B112" s="105" t="s">
        <v>285</v>
      </c>
      <c r="C112" s="99" t="str">
        <f t="shared" si="5"/>
        <v>Spring Gulch RP</v>
      </c>
      <c r="D112" s="99" t="str">
        <f t="shared" si="5"/>
        <v>Spring Gulch RP</v>
      </c>
      <c r="E112" s="146">
        <f>3300*2</f>
        <v>6600</v>
      </c>
      <c r="F112" s="22" t="s">
        <v>284</v>
      </c>
      <c r="G112" s="119">
        <v>740</v>
      </c>
    </row>
    <row r="113" spans="1:7" x14ac:dyDescent="0.2">
      <c r="A113" s="21">
        <f t="shared" si="6"/>
        <v>1342</v>
      </c>
      <c r="B113" s="105" t="s">
        <v>285</v>
      </c>
      <c r="C113" s="99" t="str">
        <f t="shared" si="5"/>
        <v>Spring Gulch RP</v>
      </c>
      <c r="D113" s="99" t="str">
        <f t="shared" si="5"/>
        <v>Front RP Long</v>
      </c>
      <c r="E113" s="146">
        <f>11287*2</f>
        <v>22574</v>
      </c>
      <c r="F113" s="22" t="s">
        <v>284</v>
      </c>
      <c r="G113" s="119">
        <v>777</v>
      </c>
    </row>
    <row r="114" spans="1:7" x14ac:dyDescent="0.2">
      <c r="A114" s="21">
        <f t="shared" si="6"/>
        <v>1343</v>
      </c>
      <c r="B114" s="105" t="s">
        <v>285</v>
      </c>
      <c r="C114" s="99" t="str">
        <f t="shared" si="5"/>
        <v>Spring Gulch RP</v>
      </c>
      <c r="D114" s="99" t="str">
        <f t="shared" si="5"/>
        <v>Front RP Middle</v>
      </c>
      <c r="E114" s="146">
        <f>9396*2</f>
        <v>18792</v>
      </c>
      <c r="F114" s="22" t="s">
        <v>284</v>
      </c>
      <c r="G114" s="119">
        <v>777</v>
      </c>
    </row>
    <row r="115" spans="1:7" x14ac:dyDescent="0.2">
      <c r="A115" s="21">
        <f t="shared" si="6"/>
        <v>1344</v>
      </c>
      <c r="B115" s="105" t="s">
        <v>285</v>
      </c>
      <c r="C115" s="99" t="str">
        <f t="shared" si="5"/>
        <v>Spring Gulch RP</v>
      </c>
      <c r="D115" s="99" t="str">
        <f t="shared" si="5"/>
        <v>Front RP Short</v>
      </c>
      <c r="E115" s="146">
        <f>6631*2</f>
        <v>13262</v>
      </c>
      <c r="F115" s="22" t="s">
        <v>284</v>
      </c>
      <c r="G115" s="119">
        <v>777</v>
      </c>
    </row>
    <row r="116" spans="1:7" x14ac:dyDescent="0.2">
      <c r="A116" s="21">
        <f t="shared" si="6"/>
        <v>1345</v>
      </c>
      <c r="B116" s="105" t="s">
        <v>285</v>
      </c>
      <c r="C116" s="99" t="str">
        <f t="shared" si="5"/>
        <v>Spring Gulch RP</v>
      </c>
      <c r="D116" s="99" t="str">
        <f t="shared" si="5"/>
        <v>Blind Gulch/Sulphur RP</v>
      </c>
      <c r="E116" s="146">
        <f>7465*2</f>
        <v>14930</v>
      </c>
      <c r="F116" s="22" t="s">
        <v>284</v>
      </c>
      <c r="G116" s="119">
        <v>740</v>
      </c>
    </row>
    <row r="117" spans="1:7" x14ac:dyDescent="0.2">
      <c r="A117" s="21">
        <f t="shared" si="6"/>
        <v>1346</v>
      </c>
      <c r="C117" s="99"/>
      <c r="D117" s="142"/>
      <c r="E117" s="146"/>
      <c r="F117" s="144"/>
      <c r="G117" s="119"/>
    </row>
    <row r="118" spans="1:7" x14ac:dyDescent="0.2">
      <c r="A118" s="21"/>
      <c r="C118" s="99"/>
      <c r="D118" s="142"/>
      <c r="E118" s="146"/>
      <c r="F118" s="144"/>
      <c r="G118" s="119"/>
    </row>
    <row r="119" spans="1:7" x14ac:dyDescent="0.2">
      <c r="A119" s="21">
        <v>1401</v>
      </c>
      <c r="B119" s="105" t="s">
        <v>286</v>
      </c>
      <c r="C119" s="142"/>
      <c r="E119" s="146">
        <v>0</v>
      </c>
      <c r="F119" s="145">
        <v>0</v>
      </c>
      <c r="G119" s="119"/>
    </row>
    <row r="120" spans="1:7" x14ac:dyDescent="0.2">
      <c r="A120" s="21">
        <f>1+A119</f>
        <v>1402</v>
      </c>
      <c r="B120" s="105" t="s">
        <v>286</v>
      </c>
      <c r="C120" s="142"/>
      <c r="E120" s="146">
        <v>0</v>
      </c>
      <c r="F120" s="145">
        <v>0</v>
      </c>
      <c r="G120" s="119"/>
    </row>
    <row r="121" spans="1:7" x14ac:dyDescent="0.2">
      <c r="A121" s="21">
        <f t="shared" ref="A121:A129" si="7">1+A120</f>
        <v>1403</v>
      </c>
      <c r="B121" s="105" t="s">
        <v>286</v>
      </c>
      <c r="C121" s="142"/>
      <c r="E121" s="146">
        <v>0</v>
      </c>
      <c r="F121" s="145">
        <v>0</v>
      </c>
      <c r="G121" s="119"/>
    </row>
    <row r="122" spans="1:7" x14ac:dyDescent="0.2">
      <c r="A122" s="21">
        <f t="shared" si="7"/>
        <v>1404</v>
      </c>
      <c r="B122" s="105" t="s">
        <v>286</v>
      </c>
      <c r="C122" s="142"/>
      <c r="E122" s="146">
        <v>0</v>
      </c>
      <c r="F122" s="145">
        <v>0</v>
      </c>
      <c r="G122" s="119"/>
    </row>
    <row r="123" spans="1:7" x14ac:dyDescent="0.2">
      <c r="A123" s="21">
        <f t="shared" si="7"/>
        <v>1405</v>
      </c>
      <c r="B123" s="105" t="s">
        <v>286</v>
      </c>
      <c r="C123" s="142"/>
      <c r="E123" s="146">
        <v>0</v>
      </c>
      <c r="F123" s="145">
        <v>0</v>
      </c>
      <c r="G123" s="119"/>
    </row>
    <row r="124" spans="1:7" x14ac:dyDescent="0.2">
      <c r="A124" s="21">
        <f t="shared" si="7"/>
        <v>1406</v>
      </c>
      <c r="B124" s="105" t="s">
        <v>286</v>
      </c>
      <c r="C124" s="99"/>
      <c r="E124" s="146">
        <v>0</v>
      </c>
      <c r="F124" s="145">
        <v>0</v>
      </c>
      <c r="G124" s="119"/>
    </row>
    <row r="125" spans="1:7" x14ac:dyDescent="0.2">
      <c r="A125" s="21">
        <f t="shared" si="7"/>
        <v>1407</v>
      </c>
      <c r="B125" s="105" t="s">
        <v>286</v>
      </c>
      <c r="C125" s="142"/>
      <c r="E125" s="146">
        <v>0</v>
      </c>
      <c r="F125" s="145">
        <v>0</v>
      </c>
      <c r="G125" s="119"/>
    </row>
    <row r="126" spans="1:7" x14ac:dyDescent="0.2">
      <c r="A126" s="21">
        <f t="shared" si="7"/>
        <v>1408</v>
      </c>
      <c r="B126" s="105" t="s">
        <v>286</v>
      </c>
      <c r="C126" s="142"/>
      <c r="E126" s="146">
        <v>0</v>
      </c>
      <c r="F126" s="145">
        <v>0</v>
      </c>
      <c r="G126" s="119"/>
    </row>
    <row r="127" spans="1:7" x14ac:dyDescent="0.2">
      <c r="A127" s="21">
        <f>1+A125</f>
        <v>1408</v>
      </c>
      <c r="B127" s="105" t="s">
        <v>286</v>
      </c>
      <c r="C127" s="142"/>
      <c r="E127" s="146">
        <v>0</v>
      </c>
      <c r="F127" s="145">
        <v>0</v>
      </c>
      <c r="G127" s="119"/>
    </row>
    <row r="128" spans="1:7" x14ac:dyDescent="0.2">
      <c r="A128" s="21">
        <f>1+A126</f>
        <v>1409</v>
      </c>
      <c r="B128" s="105" t="s">
        <v>286</v>
      </c>
      <c r="C128" s="99"/>
      <c r="E128" s="146">
        <v>0</v>
      </c>
      <c r="F128" s="145">
        <v>0</v>
      </c>
      <c r="G128" s="119"/>
    </row>
    <row r="129" spans="1:8" x14ac:dyDescent="0.2">
      <c r="A129" s="21">
        <f t="shared" si="7"/>
        <v>1410</v>
      </c>
      <c r="B129" s="105" t="s">
        <v>286</v>
      </c>
      <c r="C129" s="99"/>
      <c r="E129" s="146">
        <v>0</v>
      </c>
      <c r="F129" s="145">
        <v>0</v>
      </c>
      <c r="G129" s="119"/>
    </row>
    <row r="130" spans="1:8" x14ac:dyDescent="0.2">
      <c r="A130" s="21"/>
      <c r="C130" s="99"/>
      <c r="E130" s="146"/>
      <c r="F130" s="145"/>
      <c r="G130" s="119"/>
    </row>
    <row r="131" spans="1:8" x14ac:dyDescent="0.2">
      <c r="A131" s="21"/>
      <c r="C131" s="99"/>
      <c r="E131" s="146"/>
      <c r="F131" s="145"/>
      <c r="G131" s="119"/>
    </row>
    <row r="132" spans="1:8" x14ac:dyDescent="0.2">
      <c r="A132" s="21">
        <v>1501</v>
      </c>
      <c r="B132" s="13" t="s">
        <v>287</v>
      </c>
      <c r="C132" s="105" t="s">
        <v>649</v>
      </c>
      <c r="D132" s="142" t="s">
        <v>680</v>
      </c>
      <c r="E132" s="146"/>
      <c r="F132" s="143"/>
      <c r="G132" s="119" t="s">
        <v>672</v>
      </c>
    </row>
    <row r="133" spans="1:8" x14ac:dyDescent="0.2">
      <c r="A133" s="21">
        <f t="shared" ref="A133:A154" si="8">1+A132</f>
        <v>1502</v>
      </c>
      <c r="B133" s="13" t="s">
        <v>287</v>
      </c>
      <c r="C133" s="142" t="s">
        <v>673</v>
      </c>
      <c r="D133" s="99" t="s">
        <v>679</v>
      </c>
      <c r="E133" s="146"/>
      <c r="F133" s="143"/>
      <c r="G133" s="119" t="s">
        <v>674</v>
      </c>
    </row>
    <row r="134" spans="1:8" x14ac:dyDescent="0.2">
      <c r="A134" s="21">
        <f t="shared" si="8"/>
        <v>1503</v>
      </c>
      <c r="B134" s="13" t="s">
        <v>287</v>
      </c>
      <c r="C134" s="142" t="s">
        <v>675</v>
      </c>
      <c r="D134" s="99" t="s">
        <v>676</v>
      </c>
      <c r="E134" s="146"/>
      <c r="F134" s="143"/>
      <c r="G134" s="119" t="s">
        <v>677</v>
      </c>
    </row>
    <row r="135" spans="1:8" x14ac:dyDescent="0.2">
      <c r="A135" s="21">
        <f t="shared" si="8"/>
        <v>1504</v>
      </c>
      <c r="B135" s="13" t="s">
        <v>287</v>
      </c>
      <c r="C135" s="142" t="s">
        <v>31</v>
      </c>
      <c r="D135" s="99" t="s">
        <v>676</v>
      </c>
      <c r="E135" s="146"/>
      <c r="F135" s="143"/>
      <c r="G135" s="119" t="s">
        <v>677</v>
      </c>
    </row>
    <row r="136" spans="1:8" x14ac:dyDescent="0.2">
      <c r="A136" s="21">
        <f t="shared" si="8"/>
        <v>1505</v>
      </c>
      <c r="B136" s="13" t="s">
        <v>287</v>
      </c>
      <c r="C136" s="142" t="s">
        <v>678</v>
      </c>
      <c r="D136" s="99" t="s">
        <v>679</v>
      </c>
      <c r="E136" s="146"/>
      <c r="F136" s="143"/>
      <c r="G136" s="119" t="s">
        <v>683</v>
      </c>
    </row>
    <row r="137" spans="1:8" x14ac:dyDescent="0.2">
      <c r="A137" s="21">
        <f t="shared" si="8"/>
        <v>1506</v>
      </c>
      <c r="B137" s="11" t="s">
        <v>287</v>
      </c>
      <c r="C137" s="99" t="s">
        <v>682</v>
      </c>
      <c r="D137" s="99" t="s">
        <v>676</v>
      </c>
      <c r="E137" s="146"/>
      <c r="F137" s="143"/>
      <c r="G137" s="119" t="s">
        <v>681</v>
      </c>
    </row>
    <row r="138" spans="1:8" x14ac:dyDescent="0.2">
      <c r="A138" s="21">
        <f t="shared" si="8"/>
        <v>1507</v>
      </c>
      <c r="B138" s="13" t="s">
        <v>287</v>
      </c>
      <c r="C138" s="142" t="s">
        <v>682</v>
      </c>
      <c r="D138" s="99" t="s">
        <v>679</v>
      </c>
      <c r="E138" s="146"/>
      <c r="F138" s="143"/>
      <c r="G138" s="119" t="s">
        <v>683</v>
      </c>
    </row>
    <row r="139" spans="1:8" x14ac:dyDescent="0.2">
      <c r="A139" s="21">
        <f t="shared" si="8"/>
        <v>1508</v>
      </c>
      <c r="B139" s="13" t="s">
        <v>287</v>
      </c>
      <c r="C139" s="142" t="s">
        <v>684</v>
      </c>
      <c r="D139" s="99" t="s">
        <v>676</v>
      </c>
      <c r="E139" s="146"/>
      <c r="F139" s="143"/>
      <c r="G139" s="119" t="s">
        <v>685</v>
      </c>
    </row>
    <row r="140" spans="1:8" x14ac:dyDescent="0.2">
      <c r="A140" s="21">
        <f t="shared" si="8"/>
        <v>1509</v>
      </c>
      <c r="B140" s="13" t="s">
        <v>287</v>
      </c>
      <c r="C140" s="142" t="s">
        <v>684</v>
      </c>
      <c r="D140" s="99" t="s">
        <v>676</v>
      </c>
      <c r="E140" s="146"/>
      <c r="F140" s="143"/>
      <c r="G140" s="119" t="s">
        <v>685</v>
      </c>
    </row>
    <row r="141" spans="1:8" x14ac:dyDescent="0.2">
      <c r="A141" s="21">
        <f t="shared" si="8"/>
        <v>1510</v>
      </c>
      <c r="B141" s="13" t="s">
        <v>287</v>
      </c>
      <c r="C141" s="142" t="s">
        <v>686</v>
      </c>
      <c r="D141" s="99" t="s">
        <v>676</v>
      </c>
      <c r="E141" s="146"/>
      <c r="F141" s="143"/>
      <c r="G141" s="119" t="s">
        <v>687</v>
      </c>
    </row>
    <row r="142" spans="1:8" x14ac:dyDescent="0.2">
      <c r="A142" s="21">
        <f t="shared" si="8"/>
        <v>1511</v>
      </c>
      <c r="C142" s="142"/>
      <c r="E142" s="146"/>
      <c r="F142" s="143"/>
      <c r="G142" s="119"/>
    </row>
    <row r="143" spans="1:8" x14ac:dyDescent="0.2">
      <c r="A143" s="21"/>
      <c r="C143" s="142"/>
      <c r="E143" s="146"/>
      <c r="F143" s="143"/>
      <c r="G143" s="119"/>
    </row>
    <row r="144" spans="1:8" x14ac:dyDescent="0.2">
      <c r="A144" s="21">
        <f>1+A142</f>
        <v>1512</v>
      </c>
      <c r="B144" s="105" t="s">
        <v>288</v>
      </c>
      <c r="C144" s="142" t="s">
        <v>279</v>
      </c>
      <c r="D144" s="99" t="s">
        <v>651</v>
      </c>
      <c r="E144" s="146"/>
      <c r="F144" s="143">
        <v>-0.1</v>
      </c>
      <c r="G144" s="119" t="s">
        <v>688</v>
      </c>
      <c r="H144" s="146">
        <v>643986</v>
      </c>
    </row>
    <row r="145" spans="1:8" x14ac:dyDescent="0.2">
      <c r="A145" s="21">
        <f t="shared" si="8"/>
        <v>1513</v>
      </c>
      <c r="B145" s="105" t="s">
        <v>288</v>
      </c>
      <c r="C145" s="142" t="s">
        <v>279</v>
      </c>
      <c r="D145" s="99" t="s">
        <v>657</v>
      </c>
      <c r="E145" s="146"/>
      <c r="F145" s="143">
        <v>-0.1</v>
      </c>
      <c r="G145" s="119" t="s">
        <v>688</v>
      </c>
      <c r="H145" s="146">
        <v>934047</v>
      </c>
    </row>
    <row r="146" spans="1:8" x14ac:dyDescent="0.2">
      <c r="A146" s="21">
        <f t="shared" si="8"/>
        <v>1514</v>
      </c>
      <c r="B146" s="105" t="s">
        <v>288</v>
      </c>
      <c r="C146" s="142" t="s">
        <v>279</v>
      </c>
      <c r="D146" s="99" t="s">
        <v>649</v>
      </c>
      <c r="E146" s="146"/>
      <c r="F146" s="143">
        <v>-0.1</v>
      </c>
      <c r="G146" s="119" t="s">
        <v>689</v>
      </c>
      <c r="H146" s="146">
        <v>419503</v>
      </c>
    </row>
    <row r="147" spans="1:8" x14ac:dyDescent="0.2">
      <c r="A147" s="21">
        <f t="shared" si="8"/>
        <v>1515</v>
      </c>
      <c r="B147" s="105" t="s">
        <v>288</v>
      </c>
      <c r="C147" s="142" t="s">
        <v>649</v>
      </c>
      <c r="D147" s="99" t="s">
        <v>278</v>
      </c>
      <c r="E147" s="146"/>
      <c r="F147" s="143">
        <v>-0.1</v>
      </c>
      <c r="G147" s="119" t="s">
        <v>688</v>
      </c>
      <c r="H147" s="146">
        <v>419503</v>
      </c>
    </row>
    <row r="148" spans="1:8" x14ac:dyDescent="0.2">
      <c r="A148" s="21">
        <f t="shared" si="8"/>
        <v>1516</v>
      </c>
      <c r="B148" s="105" t="s">
        <v>288</v>
      </c>
      <c r="C148" s="142" t="s">
        <v>279</v>
      </c>
      <c r="D148" s="99" t="s">
        <v>649</v>
      </c>
      <c r="E148" s="146"/>
      <c r="F148" s="143">
        <v>-0.1</v>
      </c>
      <c r="G148" s="119" t="s">
        <v>689</v>
      </c>
      <c r="H148" s="146">
        <v>13213</v>
      </c>
    </row>
    <row r="149" spans="1:8" x14ac:dyDescent="0.2">
      <c r="A149" s="21">
        <f t="shared" si="8"/>
        <v>1517</v>
      </c>
      <c r="B149" s="105" t="s">
        <v>288</v>
      </c>
      <c r="C149" s="99" t="s">
        <v>649</v>
      </c>
      <c r="D149" s="99" t="s">
        <v>653</v>
      </c>
      <c r="E149" s="146"/>
      <c r="F149" s="143">
        <v>-0.1</v>
      </c>
      <c r="G149" s="119" t="s">
        <v>688</v>
      </c>
      <c r="H149" s="146">
        <v>13213</v>
      </c>
    </row>
    <row r="150" spans="1:8" x14ac:dyDescent="0.2">
      <c r="A150" s="21">
        <f t="shared" si="8"/>
        <v>1518</v>
      </c>
      <c r="B150" s="105" t="s">
        <v>288</v>
      </c>
      <c r="C150" s="142" t="s">
        <v>649</v>
      </c>
      <c r="D150" s="99" t="s">
        <v>649</v>
      </c>
      <c r="E150" s="146"/>
      <c r="F150" s="143">
        <v>-0.1</v>
      </c>
      <c r="G150" s="119" t="s">
        <v>688</v>
      </c>
      <c r="H150" s="146">
        <v>769433</v>
      </c>
    </row>
    <row r="151" spans="1:8" x14ac:dyDescent="0.2">
      <c r="A151" s="21">
        <f t="shared" si="8"/>
        <v>1519</v>
      </c>
      <c r="B151" s="105" t="s">
        <v>288</v>
      </c>
      <c r="C151" s="142" t="s">
        <v>279</v>
      </c>
      <c r="D151" s="99" t="s">
        <v>279</v>
      </c>
      <c r="E151" s="146"/>
      <c r="F151" s="143">
        <v>-0.1</v>
      </c>
      <c r="G151" s="119" t="s">
        <v>688</v>
      </c>
      <c r="H151" s="146">
        <v>299499</v>
      </c>
    </row>
    <row r="152" spans="1:8" x14ac:dyDescent="0.2">
      <c r="A152" s="21">
        <f t="shared" si="8"/>
        <v>1520</v>
      </c>
      <c r="B152" s="105" t="s">
        <v>288</v>
      </c>
      <c r="C152" s="99" t="s">
        <v>279</v>
      </c>
      <c r="D152" s="99" t="s">
        <v>649</v>
      </c>
      <c r="E152" s="146"/>
      <c r="F152" s="143">
        <v>-0.1</v>
      </c>
      <c r="G152" s="119" t="s">
        <v>688</v>
      </c>
      <c r="H152" s="146">
        <v>2173950</v>
      </c>
    </row>
    <row r="153" spans="1:8" x14ac:dyDescent="0.2">
      <c r="A153" s="21">
        <f t="shared" si="8"/>
        <v>1521</v>
      </c>
      <c r="B153" s="105" t="s">
        <v>288</v>
      </c>
      <c r="C153" s="99" t="s">
        <v>279</v>
      </c>
      <c r="D153" s="99" t="s">
        <v>657</v>
      </c>
      <c r="E153" s="146"/>
      <c r="F153" s="143">
        <v>-0.1</v>
      </c>
      <c r="G153" s="119" t="s">
        <v>688</v>
      </c>
      <c r="H153" s="146">
        <v>279311</v>
      </c>
    </row>
    <row r="154" spans="1:8" x14ac:dyDescent="0.2">
      <c r="A154" s="21">
        <f t="shared" si="8"/>
        <v>1522</v>
      </c>
      <c r="B154" s="105" t="s">
        <v>776</v>
      </c>
      <c r="C154" s="105" t="s">
        <v>777</v>
      </c>
      <c r="F154" s="143">
        <v>-0.1</v>
      </c>
      <c r="G154" s="119" t="s">
        <v>778</v>
      </c>
      <c r="H154" s="146">
        <v>120502</v>
      </c>
    </row>
    <row r="155" spans="1:8" x14ac:dyDescent="0.2">
      <c r="A155" s="147"/>
    </row>
    <row r="156" spans="1:8" x14ac:dyDescent="0.2">
      <c r="A156" s="147"/>
    </row>
    <row r="157" spans="1:8" x14ac:dyDescent="0.2">
      <c r="A157" s="147"/>
    </row>
    <row r="158" spans="1:8" x14ac:dyDescent="0.2">
      <c r="A158" s="147"/>
    </row>
    <row r="159" spans="1:8" x14ac:dyDescent="0.2">
      <c r="A159" s="147"/>
    </row>
    <row r="160" spans="1:8" x14ac:dyDescent="0.2">
      <c r="A160" s="147"/>
    </row>
    <row r="161" spans="1:1" x14ac:dyDescent="0.2">
      <c r="A161" s="147"/>
    </row>
    <row r="162" spans="1:1" x14ac:dyDescent="0.2">
      <c r="A162" s="147"/>
    </row>
    <row r="163" spans="1:1" x14ac:dyDescent="0.2">
      <c r="A163" s="147"/>
    </row>
    <row r="164" spans="1:1" x14ac:dyDescent="0.2">
      <c r="A164" s="115"/>
    </row>
    <row r="165" spans="1:1" x14ac:dyDescent="0.2">
      <c r="A165" s="115"/>
    </row>
    <row r="166" spans="1:1" x14ac:dyDescent="0.2">
      <c r="A166" s="115"/>
    </row>
    <row r="167" spans="1:1" x14ac:dyDescent="0.2">
      <c r="A167" s="115"/>
    </row>
    <row r="168" spans="1:1" x14ac:dyDescent="0.2">
      <c r="A168" s="115"/>
    </row>
    <row r="169" spans="1:1" x14ac:dyDescent="0.2">
      <c r="A169" s="115"/>
    </row>
    <row r="170" spans="1:1" x14ac:dyDescent="0.2">
      <c r="A170" s="115"/>
    </row>
    <row r="171" spans="1:1" x14ac:dyDescent="0.2">
      <c r="A171" s="115"/>
    </row>
    <row r="172" spans="1:1" x14ac:dyDescent="0.2">
      <c r="A172" s="115"/>
    </row>
    <row r="173" spans="1:1" x14ac:dyDescent="0.2">
      <c r="A173" s="115"/>
    </row>
    <row r="174" spans="1:1" x14ac:dyDescent="0.2">
      <c r="A174" s="115"/>
    </row>
    <row r="175" spans="1:1" x14ac:dyDescent="0.2">
      <c r="A175" s="115"/>
    </row>
    <row r="176" spans="1:1" x14ac:dyDescent="0.2">
      <c r="A176" s="115"/>
    </row>
    <row r="177" spans="1:1" x14ac:dyDescent="0.2">
      <c r="A177" s="115"/>
    </row>
    <row r="178" spans="1:1" x14ac:dyDescent="0.2">
      <c r="A178" s="115"/>
    </row>
    <row r="179" spans="1:1" x14ac:dyDescent="0.2">
      <c r="A179" s="115"/>
    </row>
    <row r="180" spans="1:1" x14ac:dyDescent="0.2">
      <c r="A180" s="115"/>
    </row>
    <row r="181" spans="1:1" x14ac:dyDescent="0.2">
      <c r="A181" s="115"/>
    </row>
    <row r="182" spans="1:1" x14ac:dyDescent="0.2">
      <c r="A182" s="115"/>
    </row>
    <row r="183" spans="1:1" x14ac:dyDescent="0.2">
      <c r="A183" s="115"/>
    </row>
    <row r="184" spans="1:1" x14ac:dyDescent="0.2">
      <c r="A184" s="115"/>
    </row>
    <row r="185" spans="1:1" x14ac:dyDescent="0.2">
      <c r="A185" s="115"/>
    </row>
    <row r="186" spans="1:1" x14ac:dyDescent="0.2">
      <c r="A186" s="115"/>
    </row>
  </sheetData>
  <printOptions horizontalCentered="1"/>
  <pageMargins left="0.38" right="0.25" top="0.5" bottom="0.66" header="0.5" footer="0.3"/>
  <pageSetup scale="62" orientation="portrait" r:id="rId1"/>
  <rowBreaks count="1" manualBreakCount="1">
    <brk id="13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Q163"/>
  <sheetViews>
    <sheetView workbookViewId="0"/>
  </sheetViews>
  <sheetFormatPr defaultColWidth="12.5703125" defaultRowHeight="15" x14ac:dyDescent="0.2"/>
  <cols>
    <col min="1" max="1" width="6.85546875" style="105" customWidth="1"/>
    <col min="2" max="2" width="36.7109375" style="105" customWidth="1"/>
    <col min="3" max="3" width="27.85546875" style="105" customWidth="1"/>
    <col min="4" max="4" width="37.42578125" style="99" bestFit="1" customWidth="1"/>
    <col min="5" max="6" width="8.5703125" style="99" customWidth="1"/>
    <col min="7" max="7" width="13.140625" style="99" customWidth="1"/>
    <col min="8" max="8" width="8.28515625" style="99" customWidth="1"/>
    <col min="9" max="9" width="13.85546875" style="99" customWidth="1"/>
    <col min="10" max="10" width="12.5703125" style="99"/>
    <col min="11" max="11" width="14" style="99" bestFit="1" customWidth="1"/>
    <col min="12" max="12" width="24.85546875" style="105" bestFit="1" customWidth="1"/>
    <col min="13" max="13" width="17.5703125" style="105" bestFit="1" customWidth="1"/>
    <col min="14" max="16384" width="12.5703125" style="105"/>
  </cols>
  <sheetData>
    <row r="1" spans="1:16" x14ac:dyDescent="0.2">
      <c r="A1" s="105" t="str">
        <f>General!A1</f>
        <v>FINANCIAL ASSURANCE AMOUNT CALCULATION</v>
      </c>
      <c r="I1" s="119" t="str">
        <f>General!D1</f>
        <v>Questa Mine Site</v>
      </c>
      <c r="K1" s="335"/>
      <c r="L1" s="99"/>
      <c r="M1" s="99"/>
      <c r="N1" s="99"/>
      <c r="O1" s="99"/>
      <c r="P1" s="99"/>
    </row>
    <row r="2" spans="1:16" x14ac:dyDescent="0.2">
      <c r="A2" s="105" t="str">
        <f>General!A2</f>
        <v>Chevron Mining Inc.</v>
      </c>
      <c r="I2" s="119" t="s">
        <v>289</v>
      </c>
      <c r="L2" s="99"/>
      <c r="M2" s="99"/>
      <c r="N2" s="99"/>
      <c r="O2" s="99"/>
      <c r="P2" s="99"/>
    </row>
    <row r="3" spans="1:16" x14ac:dyDescent="0.2">
      <c r="A3" s="4" t="s">
        <v>290</v>
      </c>
      <c r="B3" s="4"/>
      <c r="C3" s="102"/>
      <c r="D3" s="244"/>
      <c r="E3" s="244"/>
      <c r="I3" s="377">
        <f>General!$D$2</f>
        <v>37256</v>
      </c>
      <c r="L3" s="99"/>
      <c r="M3" s="99"/>
      <c r="N3" s="99"/>
      <c r="O3" s="99"/>
      <c r="P3" s="99"/>
    </row>
    <row r="4" spans="1:16" x14ac:dyDescent="0.2">
      <c r="H4" s="119" t="str">
        <f>General!C3</f>
        <v>Updated by Kiewit/AECOM</v>
      </c>
      <c r="I4" s="377">
        <f>General!D3</f>
        <v>43419</v>
      </c>
    </row>
    <row r="6" spans="1:16" x14ac:dyDescent="0.2">
      <c r="E6" s="119"/>
      <c r="F6" s="119" t="s">
        <v>291</v>
      </c>
      <c r="G6" s="119" t="s">
        <v>292</v>
      </c>
      <c r="H6" s="119" t="s">
        <v>293</v>
      </c>
      <c r="I6" s="119" t="s">
        <v>294</v>
      </c>
    </row>
    <row r="7" spans="1:16" x14ac:dyDescent="0.2">
      <c r="A7" s="102"/>
      <c r="B7" s="102"/>
      <c r="C7" s="139" t="s">
        <v>272</v>
      </c>
      <c r="D7" s="390" t="s">
        <v>273</v>
      </c>
      <c r="E7" s="119" t="s">
        <v>239</v>
      </c>
      <c r="F7" s="119" t="s">
        <v>295</v>
      </c>
      <c r="G7" s="119" t="s">
        <v>296</v>
      </c>
      <c r="H7" s="119" t="s">
        <v>297</v>
      </c>
      <c r="I7" s="119" t="s">
        <v>296</v>
      </c>
    </row>
    <row r="8" spans="1:16" x14ac:dyDescent="0.2">
      <c r="A8" s="140" t="s">
        <v>236</v>
      </c>
      <c r="B8" s="140" t="s">
        <v>237</v>
      </c>
      <c r="C8" s="141"/>
      <c r="D8" s="391"/>
      <c r="E8" s="331" t="s">
        <v>298</v>
      </c>
      <c r="F8" s="331" t="s">
        <v>299</v>
      </c>
      <c r="G8" s="331" t="s">
        <v>300</v>
      </c>
      <c r="H8" s="331"/>
      <c r="I8" s="331" t="s">
        <v>301</v>
      </c>
    </row>
    <row r="9" spans="1:16" x14ac:dyDescent="0.2">
      <c r="A9" s="20">
        <v>1101</v>
      </c>
      <c r="B9" s="99" t="str">
        <f>'3...Material'!B9</f>
        <v>Pushdown existing outslopes</v>
      </c>
      <c r="C9" s="142" t="str">
        <f>'3...Material'!C9</f>
        <v>Sugar Shack West RP</v>
      </c>
      <c r="D9" s="142"/>
      <c r="E9" s="130"/>
      <c r="F9" s="146"/>
      <c r="G9" s="146">
        <v>493650</v>
      </c>
      <c r="H9" s="143">
        <v>0</v>
      </c>
      <c r="I9" s="146">
        <f>G9*(1+H9)</f>
        <v>493650</v>
      </c>
      <c r="J9" s="130"/>
      <c r="K9" s="130"/>
    </row>
    <row r="10" spans="1:16" x14ac:dyDescent="0.2">
      <c r="A10" s="20">
        <f>1+A9</f>
        <v>1102</v>
      </c>
      <c r="B10" s="99" t="str">
        <f>'3...Material'!B10</f>
        <v>Rehandle landbridge</v>
      </c>
      <c r="C10" s="142" t="str">
        <f>'3...Material'!C10</f>
        <v>Pit Rep - Landbridge</v>
      </c>
      <c r="D10" s="142"/>
      <c r="E10" s="130"/>
      <c r="F10" s="146"/>
      <c r="G10" s="146">
        <v>320000</v>
      </c>
      <c r="H10" s="143">
        <f>$H$9</f>
        <v>0</v>
      </c>
      <c r="I10" s="146">
        <f t="shared" ref="I10:I16" si="0">G10*(1+H10)</f>
        <v>320000</v>
      </c>
      <c r="J10" s="130"/>
      <c r="K10" s="130"/>
    </row>
    <row r="11" spans="1:16" x14ac:dyDescent="0.2">
      <c r="A11" s="20">
        <f t="shared" ref="A11:A18" si="1">A10+1</f>
        <v>1103</v>
      </c>
      <c r="B11" s="99" t="str">
        <f>'3...Material'!B11</f>
        <v>Pushdown existing outslopes</v>
      </c>
      <c r="C11" s="142" t="str">
        <f>'3...Material'!C11</f>
        <v>Blind Gulch RP</v>
      </c>
      <c r="D11" s="142"/>
      <c r="E11" s="130"/>
      <c r="F11" s="146"/>
      <c r="G11" s="146">
        <v>940000</v>
      </c>
      <c r="H11" s="143">
        <f t="shared" ref="H11:H18" si="2">$H$9</f>
        <v>0</v>
      </c>
      <c r="I11" s="146">
        <f t="shared" si="0"/>
        <v>940000</v>
      </c>
      <c r="J11" s="130"/>
      <c r="K11" s="130"/>
    </row>
    <row r="12" spans="1:16" x14ac:dyDescent="0.2">
      <c r="A12" s="20">
        <f t="shared" si="1"/>
        <v>1104</v>
      </c>
      <c r="B12" s="99" t="str">
        <f>'3...Material'!B12</f>
        <v>Pushdown existing outslopes</v>
      </c>
      <c r="C12" s="142" t="str">
        <f>'3...Material'!C12</f>
        <v>Front RP</v>
      </c>
      <c r="E12" s="130"/>
      <c r="F12" s="146"/>
      <c r="G12" s="146">
        <v>1944000</v>
      </c>
      <c r="H12" s="143">
        <f t="shared" si="2"/>
        <v>0</v>
      </c>
      <c r="I12" s="146">
        <f t="shared" si="0"/>
        <v>1944000</v>
      </c>
      <c r="J12" s="130"/>
      <c r="K12" s="130"/>
    </row>
    <row r="13" spans="1:16" x14ac:dyDescent="0.2">
      <c r="A13" s="20">
        <f t="shared" si="1"/>
        <v>1105</v>
      </c>
      <c r="B13" s="99" t="str">
        <f>'3...Material'!B13</f>
        <v>Pushdown existing outslopes</v>
      </c>
      <c r="C13" s="142" t="str">
        <f>'3...Material'!C13</f>
        <v>Spring Gulch RP</v>
      </c>
      <c r="E13" s="130"/>
      <c r="F13" s="146"/>
      <c r="G13" s="146">
        <v>1800000</v>
      </c>
      <c r="H13" s="143">
        <f t="shared" si="2"/>
        <v>0</v>
      </c>
      <c r="I13" s="146">
        <f>G13*(1+H13)</f>
        <v>1800000</v>
      </c>
      <c r="J13" s="130"/>
      <c r="K13" s="130"/>
    </row>
    <row r="14" spans="1:16" x14ac:dyDescent="0.2">
      <c r="A14" s="20">
        <f t="shared" si="1"/>
        <v>1106</v>
      </c>
      <c r="B14" s="99" t="str">
        <f>'3...Material'!B14</f>
        <v>Pushdown screening material</v>
      </c>
      <c r="C14" s="142" t="str">
        <f>'3...Material'!C14</f>
        <v>Spring Gulch RP</v>
      </c>
      <c r="E14" s="130"/>
      <c r="F14" s="146"/>
      <c r="G14" s="146">
        <v>5239863</v>
      </c>
      <c r="H14" s="143">
        <f t="shared" si="2"/>
        <v>0</v>
      </c>
      <c r="I14" s="146">
        <f>G14*(1+H14)</f>
        <v>5239863</v>
      </c>
      <c r="J14" s="130"/>
      <c r="K14" s="130"/>
    </row>
    <row r="15" spans="1:16" x14ac:dyDescent="0.2">
      <c r="A15" s="20">
        <f t="shared" si="1"/>
        <v>1107</v>
      </c>
      <c r="B15" s="99" t="str">
        <f>'3...Material'!B15</f>
        <v>Remove 793 Access Ramp</v>
      </c>
      <c r="C15" s="142" t="str">
        <f>'3...Material'!C15</f>
        <v>Front RP</v>
      </c>
      <c r="E15" s="130"/>
      <c r="F15" s="146"/>
      <c r="G15" s="23">
        <v>800000</v>
      </c>
      <c r="H15" s="143">
        <f t="shared" si="2"/>
        <v>0</v>
      </c>
      <c r="I15" s="146">
        <f>G15*(1+H15)</f>
        <v>800000</v>
      </c>
      <c r="J15" s="130"/>
      <c r="K15" s="130"/>
    </row>
    <row r="16" spans="1:16" x14ac:dyDescent="0.2">
      <c r="A16" s="20">
        <f t="shared" si="1"/>
        <v>1108</v>
      </c>
      <c r="B16" s="99" t="str">
        <f>'3...Material'!B16</f>
        <v>Build 793 Access Road</v>
      </c>
      <c r="C16" s="142" t="str">
        <f>'3...Material'!C16</f>
        <v>Front RP</v>
      </c>
      <c r="D16" s="142"/>
      <c r="E16" s="130"/>
      <c r="F16" s="146"/>
      <c r="G16" s="23">
        <v>750000</v>
      </c>
      <c r="H16" s="143">
        <f t="shared" si="2"/>
        <v>0</v>
      </c>
      <c r="I16" s="146">
        <f t="shared" si="0"/>
        <v>750000</v>
      </c>
      <c r="J16" s="130"/>
      <c r="K16" s="130"/>
    </row>
    <row r="17" spans="1:13" x14ac:dyDescent="0.2">
      <c r="A17" s="20">
        <f t="shared" si="1"/>
        <v>1109</v>
      </c>
      <c r="B17" s="99" t="str">
        <f>'3...Material'!B17</f>
        <v>GHS Access Rehandle to Place</v>
      </c>
      <c r="C17" s="142" t="str">
        <f>'3...Material'!C17</f>
        <v>GHS</v>
      </c>
      <c r="E17" s="130"/>
      <c r="F17" s="146"/>
      <c r="G17" s="23">
        <v>50722</v>
      </c>
      <c r="H17" s="143">
        <f t="shared" si="2"/>
        <v>0</v>
      </c>
      <c r="I17" s="146">
        <f t="shared" ref="I17:I18" si="3">G17*(1+H17)</f>
        <v>50722</v>
      </c>
      <c r="J17" s="130"/>
      <c r="K17" s="130"/>
    </row>
    <row r="18" spans="1:13" x14ac:dyDescent="0.2">
      <c r="A18" s="20">
        <f t="shared" si="1"/>
        <v>1110</v>
      </c>
      <c r="B18" s="99" t="str">
        <f>'3...Material'!B18</f>
        <v>GHS Access Rehandle Prime</v>
      </c>
      <c r="C18" s="142" t="str">
        <f>'3...Material'!C18</f>
        <v>GHS</v>
      </c>
      <c r="E18" s="130"/>
      <c r="F18" s="146"/>
      <c r="G18" s="23">
        <v>78600</v>
      </c>
      <c r="H18" s="143">
        <f t="shared" si="2"/>
        <v>0</v>
      </c>
      <c r="I18" s="146">
        <f t="shared" si="3"/>
        <v>78600</v>
      </c>
      <c r="J18" s="130"/>
      <c r="K18" s="130"/>
    </row>
    <row r="19" spans="1:13" x14ac:dyDescent="0.2">
      <c r="A19" s="20"/>
      <c r="B19" s="99"/>
      <c r="C19" s="142"/>
      <c r="D19" s="142"/>
      <c r="E19" s="130"/>
      <c r="F19" s="119" t="s">
        <v>302</v>
      </c>
      <c r="G19" s="24">
        <f>SUM(G9:G18)</f>
        <v>12416835</v>
      </c>
      <c r="H19" s="143"/>
      <c r="I19" s="146"/>
      <c r="J19" s="130"/>
      <c r="K19" s="130"/>
    </row>
    <row r="20" spans="1:13" x14ac:dyDescent="0.2">
      <c r="A20" s="20"/>
      <c r="B20" s="99"/>
      <c r="C20" s="142"/>
      <c r="D20" s="142"/>
      <c r="E20" s="130"/>
      <c r="F20" s="146"/>
      <c r="G20" s="23"/>
      <c r="H20" s="143"/>
      <c r="I20" s="146"/>
      <c r="J20" s="130"/>
      <c r="K20" s="130"/>
    </row>
    <row r="21" spans="1:13" x14ac:dyDescent="0.2">
      <c r="A21" s="21">
        <v>1201</v>
      </c>
      <c r="B21" s="99" t="str">
        <f>'3...Material'!B21</f>
        <v>Load waste material on trucks</v>
      </c>
      <c r="C21" s="99" t="str">
        <f>'3...Material'!C21</f>
        <v>Front RP 9350'</v>
      </c>
      <c r="D21" s="99" t="str">
        <f>'3...Material'!D21</f>
        <v>Pit Repository Ramp 8770' to 8520'</v>
      </c>
      <c r="E21" s="130"/>
      <c r="F21" s="146"/>
      <c r="G21" s="23">
        <v>2437000</v>
      </c>
      <c r="H21" s="143">
        <v>0</v>
      </c>
      <c r="I21" s="146">
        <f t="shared" ref="I21:I39" si="4">G21*(1+H21)</f>
        <v>2437000</v>
      </c>
      <c r="J21" s="130"/>
      <c r="K21" s="130"/>
      <c r="M21" s="215"/>
    </row>
    <row r="22" spans="1:13" x14ac:dyDescent="0.2">
      <c r="A22" s="21">
        <f>1+A21</f>
        <v>1202</v>
      </c>
      <c r="B22" s="99" t="str">
        <f>'3...Material'!B22</f>
        <v>Load waste material on trucks</v>
      </c>
      <c r="C22" s="99" t="str">
        <f>'3...Material'!C22</f>
        <v>Front RP 8850' to 8950'</v>
      </c>
      <c r="D22" s="99" t="str">
        <f>'3...Material'!D22</f>
        <v>Pit Repository 8870 to 8900</v>
      </c>
      <c r="E22" s="130"/>
      <c r="F22" s="146"/>
      <c r="G22" s="25">
        <v>5218000</v>
      </c>
      <c r="H22" s="143">
        <v>0</v>
      </c>
      <c r="I22" s="146">
        <f t="shared" si="4"/>
        <v>5218000</v>
      </c>
      <c r="J22" s="130"/>
      <c r="K22" s="130"/>
      <c r="M22" s="215"/>
    </row>
    <row r="23" spans="1:13" x14ac:dyDescent="0.2">
      <c r="A23" s="21">
        <f t="shared" ref="A23:A52" si="5">1+A22</f>
        <v>1203</v>
      </c>
      <c r="B23" s="99" t="str">
        <f>'3...Material'!B23</f>
        <v>Load waste material on trucks</v>
      </c>
      <c r="C23" s="99" t="str">
        <f>'3...Material'!C23</f>
        <v>Front RP 8950' to 9050'</v>
      </c>
      <c r="D23" s="99" t="str">
        <f>'3...Material'!D23</f>
        <v>Pit Repository 8870 to 8900</v>
      </c>
      <c r="E23" s="130"/>
      <c r="F23" s="146"/>
      <c r="G23" s="23">
        <v>1348000</v>
      </c>
      <c r="H23" s="143">
        <v>0</v>
      </c>
      <c r="I23" s="146">
        <f t="shared" si="4"/>
        <v>1348000</v>
      </c>
      <c r="J23" s="130"/>
      <c r="K23" s="130"/>
      <c r="M23" s="215"/>
    </row>
    <row r="24" spans="1:13" x14ac:dyDescent="0.2">
      <c r="A24" s="21">
        <f t="shared" si="5"/>
        <v>1204</v>
      </c>
      <c r="B24" s="99" t="str">
        <f>'3...Material'!B24</f>
        <v>Load waste material on trucks</v>
      </c>
      <c r="C24" s="99" t="str">
        <f>'3...Material'!C24</f>
        <v>Front RP 8750 to 8850</v>
      </c>
      <c r="D24" s="99" t="str">
        <f>'3...Material'!D24</f>
        <v>Pit Repository 8770 to 8900</v>
      </c>
      <c r="E24" s="130"/>
      <c r="F24" s="146"/>
      <c r="G24" s="23">
        <v>3746000</v>
      </c>
      <c r="H24" s="143">
        <v>0</v>
      </c>
      <c r="I24" s="146">
        <f t="shared" ref="I24:I37" si="6">G24*(1+H24)</f>
        <v>3746000</v>
      </c>
      <c r="J24" s="130"/>
      <c r="K24" s="130"/>
      <c r="M24" s="215"/>
    </row>
    <row r="25" spans="1:13" x14ac:dyDescent="0.2">
      <c r="A25" s="21">
        <f t="shared" si="5"/>
        <v>1205</v>
      </c>
      <c r="B25" s="99" t="str">
        <f>'3...Material'!B25</f>
        <v>Load waste material on trucks</v>
      </c>
      <c r="C25" s="99" t="str">
        <f>'3...Material'!C25</f>
        <v>Front RP 8550 to 8650</v>
      </c>
      <c r="D25" s="99" t="str">
        <f>'3...Material'!D25</f>
        <v>Pit Repository 8900 to 9130</v>
      </c>
      <c r="E25" s="130"/>
      <c r="F25" s="146"/>
      <c r="G25" s="23">
        <v>234000</v>
      </c>
      <c r="H25" s="143">
        <v>0</v>
      </c>
      <c r="I25" s="146">
        <f t="shared" si="6"/>
        <v>234000</v>
      </c>
      <c r="J25" s="130"/>
      <c r="K25" s="130"/>
      <c r="M25" s="215"/>
    </row>
    <row r="26" spans="1:13" x14ac:dyDescent="0.2">
      <c r="A26" s="21">
        <f t="shared" si="5"/>
        <v>1206</v>
      </c>
      <c r="B26" s="99" t="str">
        <f>'3...Material'!B26</f>
        <v>Load waste material on trucks</v>
      </c>
      <c r="C26" s="99" t="str">
        <f>'3...Material'!C26</f>
        <v>Front RP 8450 to 8550</v>
      </c>
      <c r="D26" s="99" t="str">
        <f>'3...Material'!D26</f>
        <v>Pit Repository 8900 to 9130</v>
      </c>
      <c r="E26" s="130"/>
      <c r="F26" s="146"/>
      <c r="G26" s="23">
        <v>511000</v>
      </c>
      <c r="H26" s="143">
        <v>0</v>
      </c>
      <c r="I26" s="146">
        <f t="shared" si="6"/>
        <v>511000</v>
      </c>
      <c r="J26" s="130"/>
      <c r="K26" s="130"/>
      <c r="M26" s="215"/>
    </row>
    <row r="27" spans="1:13" x14ac:dyDescent="0.2">
      <c r="A27" s="21">
        <f t="shared" si="5"/>
        <v>1207</v>
      </c>
      <c r="B27" s="99" t="str">
        <f>'3...Material'!B27</f>
        <v>Load waste material on trucks</v>
      </c>
      <c r="C27" s="99" t="str">
        <f>'3...Material'!C27</f>
        <v>Front RP 9250 to 9350</v>
      </c>
      <c r="D27" s="99" t="str">
        <f>'3...Material'!D27</f>
        <v>Pit Repository Ramp 8770 to 8520</v>
      </c>
      <c r="E27" s="130"/>
      <c r="F27" s="146"/>
      <c r="G27" s="23">
        <v>913000</v>
      </c>
      <c r="H27" s="143">
        <v>0</v>
      </c>
      <c r="I27" s="146">
        <f t="shared" si="6"/>
        <v>913000</v>
      </c>
      <c r="J27" s="130"/>
      <c r="K27" s="130"/>
      <c r="M27" s="215"/>
    </row>
    <row r="28" spans="1:13" x14ac:dyDescent="0.2">
      <c r="A28" s="21">
        <f t="shared" si="5"/>
        <v>1208</v>
      </c>
      <c r="B28" s="99" t="str">
        <f>'3...Material'!B28</f>
        <v>Load waste material on trucks</v>
      </c>
      <c r="C28" s="99" t="str">
        <f>'3...Material'!C28</f>
        <v>Front RP 9250 to 9350</v>
      </c>
      <c r="D28" s="99" t="str">
        <f>'3...Material'!D28</f>
        <v>Pit Repository 8520 to 8650</v>
      </c>
      <c r="E28" s="130"/>
      <c r="F28" s="146"/>
      <c r="G28" s="23">
        <v>2021000</v>
      </c>
      <c r="H28" s="143">
        <v>0</v>
      </c>
      <c r="I28" s="146">
        <f t="shared" si="6"/>
        <v>2021000</v>
      </c>
      <c r="J28" s="130"/>
      <c r="K28" s="130"/>
      <c r="M28" s="215"/>
    </row>
    <row r="29" spans="1:13" x14ac:dyDescent="0.2">
      <c r="A29" s="21">
        <f t="shared" si="5"/>
        <v>1209</v>
      </c>
      <c r="B29" s="99" t="str">
        <f>'3...Material'!B29</f>
        <v>Load waste material on trucks</v>
      </c>
      <c r="C29" s="99" t="str">
        <f>'3...Material'!C29</f>
        <v>Front RP 9050 to 9150</v>
      </c>
      <c r="D29" s="99" t="str">
        <f>'3...Material'!D29</f>
        <v>Pit Repository 8650 to 8770</v>
      </c>
      <c r="E29" s="130"/>
      <c r="F29" s="146"/>
      <c r="G29" s="23">
        <v>4674000</v>
      </c>
      <c r="H29" s="143">
        <v>0</v>
      </c>
      <c r="I29" s="146">
        <f t="shared" si="6"/>
        <v>4674000</v>
      </c>
      <c r="J29" s="130"/>
      <c r="K29" s="130"/>
      <c r="M29" s="215"/>
    </row>
    <row r="30" spans="1:13" x14ac:dyDescent="0.2">
      <c r="A30" s="21">
        <f t="shared" si="5"/>
        <v>1210</v>
      </c>
      <c r="B30" s="99" t="str">
        <f>'3...Material'!B30</f>
        <v>Load waste material on trucks</v>
      </c>
      <c r="C30" s="99" t="str">
        <f>'3...Material'!C30</f>
        <v>Front RP 8950 to 9050</v>
      </c>
      <c r="D30" s="99" t="str">
        <f>'3...Material'!D30</f>
        <v>Pit Repository 8650 to 8770</v>
      </c>
      <c r="E30" s="130"/>
      <c r="F30" s="146"/>
      <c r="G30" s="23">
        <v>3964000</v>
      </c>
      <c r="H30" s="143">
        <v>0</v>
      </c>
      <c r="I30" s="146">
        <f t="shared" si="6"/>
        <v>3964000</v>
      </c>
      <c r="J30" s="130"/>
      <c r="K30" s="130"/>
      <c r="M30" s="215"/>
    </row>
    <row r="31" spans="1:13" x14ac:dyDescent="0.2">
      <c r="A31" s="21">
        <f t="shared" si="5"/>
        <v>1211</v>
      </c>
      <c r="B31" s="99" t="str">
        <f>'3...Material'!B31</f>
        <v>Load waste material on trucks</v>
      </c>
      <c r="C31" s="99" t="str">
        <f>'3...Material'!C31</f>
        <v>Front RP 8650 to 8750</v>
      </c>
      <c r="D31" s="99" t="str">
        <f>'3...Material'!D31</f>
        <v>Blind Gulch Bottom</v>
      </c>
      <c r="E31" s="130"/>
      <c r="F31" s="146"/>
      <c r="G31" s="23">
        <v>1662000</v>
      </c>
      <c r="H31" s="143">
        <v>0</v>
      </c>
      <c r="I31" s="146">
        <f t="shared" si="6"/>
        <v>1662000</v>
      </c>
      <c r="J31" s="130"/>
      <c r="K31" s="130"/>
      <c r="M31" s="215"/>
    </row>
    <row r="32" spans="1:13" x14ac:dyDescent="0.2">
      <c r="A32" s="21">
        <f t="shared" si="5"/>
        <v>1212</v>
      </c>
      <c r="B32" s="99" t="str">
        <f>'3...Material'!B32</f>
        <v>Load waste material on trucks</v>
      </c>
      <c r="C32" s="99" t="str">
        <f>'3...Material'!C32</f>
        <v>Front RP 9150 to 9250</v>
      </c>
      <c r="D32" s="99" t="str">
        <f>'3...Material'!D32</f>
        <v>Pit Repository 8520 to 8650</v>
      </c>
      <c r="E32" s="130"/>
      <c r="F32" s="146"/>
      <c r="G32" s="23">
        <v>4345000</v>
      </c>
      <c r="H32" s="143">
        <v>0</v>
      </c>
      <c r="I32" s="146">
        <f t="shared" si="6"/>
        <v>4345000</v>
      </c>
      <c r="J32" s="130"/>
      <c r="K32" s="130"/>
      <c r="M32" s="215"/>
    </row>
    <row r="33" spans="1:13" x14ac:dyDescent="0.2">
      <c r="A33" s="21">
        <f t="shared" si="5"/>
        <v>1213</v>
      </c>
      <c r="B33" s="99" t="str">
        <f>'3...Material'!B33</f>
        <v>Load waste material on trucks</v>
      </c>
      <c r="C33" s="99" t="str">
        <f>'3...Material'!C33</f>
        <v>Front RP 8550 to 8650</v>
      </c>
      <c r="D33" s="99" t="str">
        <f>'3...Material'!D33</f>
        <v>Blind Gulch Bottom</v>
      </c>
      <c r="E33" s="130"/>
      <c r="F33" s="146"/>
      <c r="G33" s="23">
        <v>2085000</v>
      </c>
      <c r="H33" s="143">
        <v>0</v>
      </c>
      <c r="I33" s="146">
        <f t="shared" si="6"/>
        <v>2085000</v>
      </c>
      <c r="J33" s="130"/>
      <c r="K33" s="130"/>
      <c r="M33" s="215"/>
    </row>
    <row r="34" spans="1:13" x14ac:dyDescent="0.2">
      <c r="A34" s="21">
        <f t="shared" si="5"/>
        <v>1214</v>
      </c>
      <c r="B34" s="99" t="str">
        <f>'3...Material'!B34</f>
        <v>Load waste material on trucks</v>
      </c>
      <c r="C34" s="99" t="str">
        <f>'3...Material'!C34</f>
        <v>Front RP 9050 to 9150</v>
      </c>
      <c r="D34" s="99" t="str">
        <f>'3...Material'!D34</f>
        <v>Pit Repository 8520 to 8650</v>
      </c>
      <c r="E34" s="130"/>
      <c r="F34" s="146"/>
      <c r="G34" s="23">
        <v>163000</v>
      </c>
      <c r="H34" s="143">
        <v>0</v>
      </c>
      <c r="I34" s="146">
        <f t="shared" si="6"/>
        <v>163000</v>
      </c>
      <c r="J34" s="130"/>
      <c r="K34" s="130"/>
      <c r="M34" s="215"/>
    </row>
    <row r="35" spans="1:13" x14ac:dyDescent="0.2">
      <c r="A35" s="21">
        <f t="shared" si="5"/>
        <v>1215</v>
      </c>
      <c r="B35" s="99" t="str">
        <f>'3...Material'!B35</f>
        <v>Load waste material on trucks</v>
      </c>
      <c r="C35" s="99" t="str">
        <f>'3...Material'!C35</f>
        <v>Front RP 8750 to 8850</v>
      </c>
      <c r="D35" s="99" t="str">
        <f>'3...Material'!D35</f>
        <v>Pit Repository 8650 to 8770</v>
      </c>
      <c r="E35" s="130"/>
      <c r="F35" s="146"/>
      <c r="G35" s="23">
        <v>687000</v>
      </c>
      <c r="H35" s="143">
        <v>0</v>
      </c>
      <c r="I35" s="146">
        <f t="shared" si="6"/>
        <v>687000</v>
      </c>
      <c r="J35" s="130"/>
      <c r="K35" s="130"/>
      <c r="M35" s="215"/>
    </row>
    <row r="36" spans="1:13" x14ac:dyDescent="0.2">
      <c r="A36" s="21">
        <f t="shared" si="5"/>
        <v>1216</v>
      </c>
      <c r="B36" s="99" t="str">
        <f>'3...Material'!B36</f>
        <v>Load waste material on trucks</v>
      </c>
      <c r="C36" s="99" t="str">
        <f>'3...Material'!C36</f>
        <v>Front RP 8650 to 8750</v>
      </c>
      <c r="D36" s="99" t="str">
        <f>'3...Material'!D36</f>
        <v>Pit Repository 8650 to 8770</v>
      </c>
      <c r="E36" s="130"/>
      <c r="F36" s="146"/>
      <c r="G36" s="23">
        <v>1152000</v>
      </c>
      <c r="H36" s="143">
        <v>0</v>
      </c>
      <c r="I36" s="146">
        <f t="shared" si="6"/>
        <v>1152000</v>
      </c>
      <c r="J36" s="130"/>
      <c r="K36" s="130"/>
      <c r="M36" s="215"/>
    </row>
    <row r="37" spans="1:13" x14ac:dyDescent="0.2">
      <c r="A37" s="21">
        <f t="shared" si="5"/>
        <v>1217</v>
      </c>
      <c r="B37" s="99" t="str">
        <f>'3...Material'!B37</f>
        <v>Load waste material on trucks</v>
      </c>
      <c r="C37" s="99" t="str">
        <f>'3...Material'!C37</f>
        <v>Front RP 9350 and above</v>
      </c>
      <c r="D37" s="99" t="str">
        <f>'3...Material'!D37</f>
        <v>Pit Repository Top</v>
      </c>
      <c r="E37" s="130"/>
      <c r="F37" s="146"/>
      <c r="G37" s="23">
        <v>1240000</v>
      </c>
      <c r="H37" s="143">
        <v>0</v>
      </c>
      <c r="I37" s="146">
        <f t="shared" si="6"/>
        <v>1240000</v>
      </c>
      <c r="J37" s="130"/>
      <c r="K37" s="130"/>
      <c r="M37" s="215"/>
    </row>
    <row r="38" spans="1:13" x14ac:dyDescent="0.2">
      <c r="A38" s="21">
        <f t="shared" si="5"/>
        <v>1218</v>
      </c>
      <c r="B38" s="99" t="str">
        <f>'3...Material'!B38</f>
        <v>Load waste material on trucks</v>
      </c>
      <c r="C38" s="99" t="str">
        <f>'3...Material'!C38</f>
        <v>Spring Gulch RP</v>
      </c>
      <c r="D38" s="99" t="str">
        <f>'3...Material'!D38</f>
        <v>Blind Gulch RP</v>
      </c>
      <c r="E38" s="130"/>
      <c r="F38" s="146"/>
      <c r="G38" s="23">
        <v>750000</v>
      </c>
      <c r="H38" s="143">
        <v>0</v>
      </c>
      <c r="I38" s="146">
        <f t="shared" si="4"/>
        <v>750000</v>
      </c>
      <c r="J38" s="130"/>
      <c r="K38" s="130"/>
      <c r="M38" s="215"/>
    </row>
    <row r="39" spans="1:13" x14ac:dyDescent="0.2">
      <c r="A39" s="21">
        <f t="shared" si="5"/>
        <v>1219</v>
      </c>
      <c r="B39" s="99" t="str">
        <f>'3...Material'!B39</f>
        <v>Load waste material on trucks</v>
      </c>
      <c r="C39" s="99" t="str">
        <f>'3...Material'!C39</f>
        <v>Spring Gulch RP</v>
      </c>
      <c r="D39" s="99" t="str">
        <f>'3...Material'!D39</f>
        <v>Pit Repository</v>
      </c>
      <c r="E39" s="130"/>
      <c r="F39" s="146"/>
      <c r="G39" s="23">
        <v>4900000</v>
      </c>
      <c r="H39" s="143">
        <v>0</v>
      </c>
      <c r="I39" s="146">
        <f t="shared" si="4"/>
        <v>4900000</v>
      </c>
      <c r="J39" s="130"/>
      <c r="K39" s="130"/>
      <c r="M39" s="215"/>
    </row>
    <row r="40" spans="1:13" x14ac:dyDescent="0.2">
      <c r="A40" s="21">
        <f t="shared" si="5"/>
        <v>1220</v>
      </c>
      <c r="B40" s="99" t="str">
        <f>'3...Material'!B40</f>
        <v>Load waste material on trucks</v>
      </c>
      <c r="C40" s="99" t="str">
        <f>'3...Material'!C40</f>
        <v>Blind Gulch RP</v>
      </c>
      <c r="D40" s="99" t="str">
        <f>'3...Material'!D40</f>
        <v>Blind Gulch RP</v>
      </c>
      <c r="E40" s="130"/>
      <c r="F40" s="146"/>
      <c r="G40" s="146">
        <v>2269500</v>
      </c>
      <c r="H40" s="143">
        <v>0</v>
      </c>
      <c r="I40" s="146">
        <f>G40*(1+H40)</f>
        <v>2269500</v>
      </c>
      <c r="J40" s="130"/>
      <c r="K40" s="130"/>
      <c r="M40" s="215"/>
    </row>
    <row r="41" spans="1:13" x14ac:dyDescent="0.2">
      <c r="A41" s="21">
        <f t="shared" si="5"/>
        <v>1221</v>
      </c>
      <c r="B41" s="99" t="str">
        <f>'3...Material'!B41</f>
        <v>Build Access Haul Road</v>
      </c>
      <c r="C41" s="99" t="str">
        <f>'3...Material'!C41</f>
        <v>Front RP</v>
      </c>
      <c r="D41" s="99" t="str">
        <f>'3...Material'!D41</f>
        <v>Front RP</v>
      </c>
      <c r="E41" s="130"/>
      <c r="F41" s="146"/>
      <c r="G41" s="146">
        <v>1450000</v>
      </c>
      <c r="H41" s="143">
        <v>0</v>
      </c>
      <c r="I41" s="146">
        <f t="shared" ref="I41:I48" si="7">G41*(1+H41)</f>
        <v>1450000</v>
      </c>
      <c r="J41" s="130"/>
      <c r="K41" s="130"/>
      <c r="M41" s="215"/>
    </row>
    <row r="42" spans="1:13" x14ac:dyDescent="0.2">
      <c r="A42" s="21">
        <f t="shared" si="5"/>
        <v>1222</v>
      </c>
      <c r="B42" s="99" t="str">
        <f>'3...Material'!B42</f>
        <v>Access Ramp Rehandle</v>
      </c>
      <c r="C42" s="99" t="str">
        <f>'3...Material'!C42</f>
        <v>Front RP</v>
      </c>
      <c r="D42" s="99" t="str">
        <f>'3...Material'!D42</f>
        <v>Pit Repository</v>
      </c>
      <c r="E42" s="130"/>
      <c r="F42" s="146"/>
      <c r="G42" s="146">
        <v>800000</v>
      </c>
      <c r="H42" s="143">
        <v>0</v>
      </c>
      <c r="I42" s="146">
        <f t="shared" si="7"/>
        <v>800000</v>
      </c>
      <c r="J42" s="130"/>
      <c r="K42" s="130"/>
      <c r="M42" s="215"/>
    </row>
    <row r="43" spans="1:13" ht="15.75" x14ac:dyDescent="0.25">
      <c r="A43" s="21">
        <f t="shared" si="5"/>
        <v>1223</v>
      </c>
      <c r="B43" s="99" t="str">
        <f>'3...Material'!B43</f>
        <v>Load waste material on trucks</v>
      </c>
      <c r="C43" s="99" t="str">
        <f>'3...Material'!C43</f>
        <v>Front RP Scars</v>
      </c>
      <c r="D43" s="99" t="str">
        <f>'3...Material'!D43</f>
        <v>Front RP</v>
      </c>
      <c r="E43" s="130"/>
      <c r="F43" s="146"/>
      <c r="G43" s="146">
        <v>2916000</v>
      </c>
      <c r="H43" s="143">
        <v>0</v>
      </c>
      <c r="I43" s="146">
        <f t="shared" si="7"/>
        <v>2916000</v>
      </c>
      <c r="J43" s="130"/>
      <c r="K43" s="130"/>
      <c r="L43"/>
    </row>
    <row r="44" spans="1:13" ht="15.75" x14ac:dyDescent="0.25">
      <c r="A44" s="21">
        <f t="shared" si="5"/>
        <v>1224</v>
      </c>
      <c r="B44" s="99" t="str">
        <f>'3...Material'!B44</f>
        <v>Load waste material on trucks</v>
      </c>
      <c r="C44" s="99" t="str">
        <f>'3...Material'!C44</f>
        <v>Sugar Shack West RP</v>
      </c>
      <c r="D44" s="99" t="str">
        <f>'3...Material'!D44</f>
        <v>Sugar Shack West RP</v>
      </c>
      <c r="E44" s="130"/>
      <c r="F44" s="146"/>
      <c r="G44" s="146">
        <v>1662564</v>
      </c>
      <c r="H44" s="143">
        <v>0</v>
      </c>
      <c r="I44" s="146">
        <f t="shared" si="7"/>
        <v>1662564</v>
      </c>
      <c r="J44" s="130"/>
      <c r="K44" s="130"/>
      <c r="L44"/>
    </row>
    <row r="45" spans="1:13" ht="15.75" x14ac:dyDescent="0.25">
      <c r="A45" s="21">
        <f t="shared" si="5"/>
        <v>1225</v>
      </c>
      <c r="B45" s="99" t="str">
        <f>'3...Material'!B45</f>
        <v>Load waste material on trucks</v>
      </c>
      <c r="C45" s="99" t="str">
        <f>'3...Material'!C45</f>
        <v>Goathill South RP</v>
      </c>
      <c r="D45" s="99" t="str">
        <f>'3...Material'!D45</f>
        <v>Sugar Shack West RP</v>
      </c>
      <c r="E45" s="130"/>
      <c r="F45" s="146"/>
      <c r="G45" s="146">
        <v>295013</v>
      </c>
      <c r="H45" s="143">
        <v>0</v>
      </c>
      <c r="I45" s="146">
        <f t="shared" si="7"/>
        <v>295013</v>
      </c>
      <c r="J45" s="130"/>
      <c r="K45" s="130"/>
      <c r="L45"/>
    </row>
    <row r="46" spans="1:13" ht="15.75" x14ac:dyDescent="0.25">
      <c r="A46" s="21">
        <f t="shared" si="5"/>
        <v>1226</v>
      </c>
      <c r="B46" s="99" t="str">
        <f>'3...Material'!B46</f>
        <v>Load waste material on trucks</v>
      </c>
      <c r="C46" s="99" t="str">
        <f>'3...Material'!C46</f>
        <v>Front RP</v>
      </c>
      <c r="D46" s="99" t="str">
        <f>'3...Material'!D46</f>
        <v>Sugar Shack West RP</v>
      </c>
      <c r="E46" s="130"/>
      <c r="F46" s="146"/>
      <c r="G46" s="146">
        <v>109115</v>
      </c>
      <c r="H46" s="143">
        <v>0</v>
      </c>
      <c r="I46" s="146">
        <f t="shared" si="7"/>
        <v>109115</v>
      </c>
      <c r="J46" s="130"/>
      <c r="K46" s="130"/>
      <c r="L46"/>
    </row>
    <row r="47" spans="1:13" ht="15.75" x14ac:dyDescent="0.25">
      <c r="A47" s="21">
        <f t="shared" si="5"/>
        <v>1227</v>
      </c>
      <c r="B47" s="99" t="str">
        <f>'3...Material'!B47</f>
        <v>Build Access Haul Road</v>
      </c>
      <c r="C47" s="99" t="str">
        <f>'3...Material'!C47</f>
        <v>Front RP</v>
      </c>
      <c r="D47" s="99" t="str">
        <f>'3...Material'!D47</f>
        <v>Front RP</v>
      </c>
      <c r="E47" s="130"/>
      <c r="F47" s="146"/>
      <c r="G47" s="146">
        <v>300000</v>
      </c>
      <c r="H47" s="143">
        <v>0</v>
      </c>
      <c r="I47" s="146">
        <f t="shared" si="7"/>
        <v>300000</v>
      </c>
      <c r="J47" s="130"/>
      <c r="K47" s="130"/>
      <c r="L47"/>
    </row>
    <row r="48" spans="1:13" ht="15.75" x14ac:dyDescent="0.25">
      <c r="A48" s="21">
        <f t="shared" si="5"/>
        <v>1228</v>
      </c>
      <c r="B48" s="99" t="str">
        <f>'3...Material'!B48</f>
        <v>Rehandle reject material</v>
      </c>
      <c r="C48" s="99" t="str">
        <f>'3...Material'!C48</f>
        <v>Spring Gulch RP</v>
      </c>
      <c r="D48" s="99" t="str">
        <f>'3...Material'!D48</f>
        <v>Pit Repository</v>
      </c>
      <c r="E48" s="130"/>
      <c r="F48" s="146"/>
      <c r="G48" s="146">
        <v>476351</v>
      </c>
      <c r="H48" s="143">
        <v>0</v>
      </c>
      <c r="I48" s="146">
        <f t="shared" si="7"/>
        <v>476351</v>
      </c>
      <c r="J48" s="130"/>
      <c r="K48" s="130"/>
      <c r="L48"/>
    </row>
    <row r="49" spans="1:12" ht="15.75" x14ac:dyDescent="0.25">
      <c r="A49" s="21">
        <f t="shared" si="5"/>
        <v>1229</v>
      </c>
      <c r="B49" s="99" t="str">
        <f>'3...Material'!B49</f>
        <v>Access Ramp Waste</v>
      </c>
      <c r="C49" s="99" t="str">
        <f>'3...Material'!C49</f>
        <v>Goathill South RP</v>
      </c>
      <c r="D49" s="99" t="str">
        <f>'3...Material'!D49</f>
        <v>Sugar Shack West RP</v>
      </c>
      <c r="E49" s="130"/>
      <c r="F49" s="146"/>
      <c r="G49" s="146">
        <v>55669</v>
      </c>
      <c r="H49" s="143">
        <v>0</v>
      </c>
      <c r="I49" s="146">
        <f t="shared" ref="I49:I50" si="8">G49*(1+H49)</f>
        <v>55669</v>
      </c>
      <c r="J49" s="130"/>
      <c r="K49" s="130"/>
      <c r="L49"/>
    </row>
    <row r="50" spans="1:12" ht="15.75" x14ac:dyDescent="0.25">
      <c r="A50" s="21">
        <f t="shared" si="5"/>
        <v>1230</v>
      </c>
      <c r="B50" s="99" t="str">
        <f>'3...Material'!B50</f>
        <v>Access Ramp Waste</v>
      </c>
      <c r="C50" s="99" t="str">
        <f>'3...Material'!C50</f>
        <v>Goathill South RP</v>
      </c>
      <c r="D50" s="99" t="str">
        <f>'3...Material'!D50</f>
        <v>Sugar Shack West RP</v>
      </c>
      <c r="E50" s="130"/>
      <c r="F50" s="146"/>
      <c r="G50" s="146">
        <v>57503</v>
      </c>
      <c r="H50" s="143">
        <v>0</v>
      </c>
      <c r="I50" s="146">
        <f t="shared" si="8"/>
        <v>57503</v>
      </c>
      <c r="J50" s="130"/>
      <c r="K50" s="130"/>
      <c r="L50"/>
    </row>
    <row r="51" spans="1:12" ht="15.75" x14ac:dyDescent="0.25">
      <c r="A51" s="21">
        <f t="shared" si="5"/>
        <v>1231</v>
      </c>
      <c r="B51" s="99" t="str">
        <f>'3...Material'!B51</f>
        <v>Load Cut Haul Road Construction</v>
      </c>
      <c r="C51" s="99" t="str">
        <f>'3...Material'!C51</f>
        <v>Spring Gulch - GHN HR</v>
      </c>
      <c r="D51" s="99" t="str">
        <f>'3...Material'!D51</f>
        <v>Spring Gulch - GHN HR</v>
      </c>
      <c r="E51" s="130"/>
      <c r="F51" s="146"/>
      <c r="G51" s="146">
        <v>17232</v>
      </c>
      <c r="H51" s="143">
        <v>0</v>
      </c>
      <c r="I51" s="146">
        <f t="shared" ref="I51:I52" si="9">G51*(1+H51)</f>
        <v>17232</v>
      </c>
      <c r="J51" s="130"/>
      <c r="K51" s="130"/>
      <c r="L51"/>
    </row>
    <row r="52" spans="1:12" ht="15.75" x14ac:dyDescent="0.25">
      <c r="A52" s="21">
        <f t="shared" si="5"/>
        <v>1232</v>
      </c>
      <c r="B52" s="99" t="str">
        <f>'3...Material'!B52</f>
        <v>Load Cut Haul Road Construction</v>
      </c>
      <c r="C52" s="99" t="str">
        <f>'3...Material'!C52</f>
        <v>Spring Gulch - GHN HR</v>
      </c>
      <c r="D52" s="99" t="str">
        <f>'3...Material'!D52</f>
        <v>Spring Gulch - GHN HR</v>
      </c>
      <c r="E52" s="130"/>
      <c r="F52" s="146"/>
      <c r="G52" s="146">
        <v>47908</v>
      </c>
      <c r="H52" s="143">
        <v>0</v>
      </c>
      <c r="I52" s="146">
        <f t="shared" si="9"/>
        <v>47908</v>
      </c>
      <c r="J52" s="130"/>
      <c r="K52" s="130"/>
      <c r="L52"/>
    </row>
    <row r="53" spans="1:12" x14ac:dyDescent="0.2">
      <c r="A53" s="21"/>
      <c r="B53" s="99"/>
      <c r="C53" s="99"/>
      <c r="E53" s="130"/>
      <c r="F53" s="119" t="s">
        <v>302</v>
      </c>
      <c r="G53" s="24">
        <f>SUM(G21:G52)</f>
        <v>52506855</v>
      </c>
      <c r="H53" s="143"/>
      <c r="I53" s="146"/>
      <c r="J53" s="130"/>
      <c r="K53" s="130"/>
    </row>
    <row r="54" spans="1:12" x14ac:dyDescent="0.2">
      <c r="A54" s="21"/>
      <c r="B54" s="99"/>
      <c r="C54" s="99"/>
      <c r="E54" s="130"/>
      <c r="F54" s="146"/>
      <c r="G54" s="23"/>
      <c r="H54" s="143"/>
      <c r="I54" s="146"/>
      <c r="J54" s="130"/>
      <c r="K54" s="130"/>
    </row>
    <row r="55" spans="1:12" x14ac:dyDescent="0.2">
      <c r="A55" s="21">
        <f>1+A52</f>
        <v>1233</v>
      </c>
      <c r="B55" s="99" t="s">
        <v>282</v>
      </c>
      <c r="C55" s="99" t="str">
        <f>'3...Material'!C55</f>
        <v>Spring Gulch RP</v>
      </c>
      <c r="D55" s="99" t="str">
        <f>'3...Material'!D55</f>
        <v>Pit Repository</v>
      </c>
      <c r="E55" s="130"/>
      <c r="F55" s="146"/>
      <c r="G55" s="146">
        <v>643986</v>
      </c>
      <c r="H55" s="143">
        <v>0</v>
      </c>
      <c r="I55" s="146">
        <f>G55*(1+H55)</f>
        <v>643986</v>
      </c>
      <c r="J55" s="130"/>
      <c r="K55" s="130"/>
    </row>
    <row r="56" spans="1:12" x14ac:dyDescent="0.2">
      <c r="A56" s="21">
        <f t="shared" ref="A56:A69" si="10">1+A55</f>
        <v>1234</v>
      </c>
      <c r="B56" s="99" t="s">
        <v>282</v>
      </c>
      <c r="C56" s="99" t="str">
        <f>'3...Material'!C56</f>
        <v>Spring Gulch RP</v>
      </c>
      <c r="D56" s="99" t="str">
        <f>'3...Material'!D56</f>
        <v>Blind Gulch/Sulphur RP Middle</v>
      </c>
      <c r="E56" s="130"/>
      <c r="F56" s="146"/>
      <c r="G56" s="146">
        <v>677963</v>
      </c>
      <c r="H56" s="143">
        <f>$H$55</f>
        <v>0</v>
      </c>
      <c r="I56" s="146">
        <f t="shared" ref="I56:I63" si="11">G56*(1+H56)</f>
        <v>677963</v>
      </c>
      <c r="J56" s="130"/>
      <c r="K56" s="130"/>
    </row>
    <row r="57" spans="1:12" x14ac:dyDescent="0.2">
      <c r="A57" s="21">
        <f t="shared" si="10"/>
        <v>1235</v>
      </c>
      <c r="B57" s="99" t="s">
        <v>282</v>
      </c>
      <c r="C57" s="99" t="str">
        <f>'3...Material'!C57</f>
        <v>Spring Gulch RP</v>
      </c>
      <c r="D57" s="99" t="str">
        <f>'3...Material'!D57</f>
        <v>Blind Gulch/Sulphur RP Bottom</v>
      </c>
      <c r="E57" s="130"/>
      <c r="F57" s="146"/>
      <c r="G57" s="146">
        <v>256084</v>
      </c>
      <c r="H57" s="143"/>
      <c r="I57" s="146"/>
      <c r="J57" s="130"/>
      <c r="K57" s="130"/>
    </row>
    <row r="58" spans="1:12" x14ac:dyDescent="0.2">
      <c r="A58" s="21">
        <f t="shared" si="10"/>
        <v>1236</v>
      </c>
      <c r="B58" s="99" t="s">
        <v>282</v>
      </c>
      <c r="C58" s="99" t="str">
        <f>'3...Material'!C58</f>
        <v>Spring Gulch RP</v>
      </c>
      <c r="D58" s="99" t="str">
        <f>'3...Material'!D58</f>
        <v>Front RP</v>
      </c>
      <c r="E58" s="130"/>
      <c r="F58" s="146"/>
      <c r="G58" s="146">
        <v>419503</v>
      </c>
      <c r="H58" s="143">
        <f t="shared" ref="H58:H64" si="12">$H$55</f>
        <v>0</v>
      </c>
      <c r="I58" s="146">
        <f t="shared" si="11"/>
        <v>419503</v>
      </c>
      <c r="J58" s="130"/>
      <c r="K58" s="130"/>
    </row>
    <row r="59" spans="1:12" x14ac:dyDescent="0.2">
      <c r="A59" s="21">
        <f t="shared" si="10"/>
        <v>1237</v>
      </c>
      <c r="B59" s="99" t="s">
        <v>282</v>
      </c>
      <c r="C59" s="99" t="str">
        <f>'3...Material'!C59</f>
        <v>Front RP</v>
      </c>
      <c r="D59" s="99" t="str">
        <f>'3...Material'!D59</f>
        <v>Sugar Shack West RP</v>
      </c>
      <c r="E59" s="130"/>
      <c r="F59" s="146"/>
      <c r="G59" s="146">
        <v>419503</v>
      </c>
      <c r="H59" s="143">
        <f t="shared" si="12"/>
        <v>0</v>
      </c>
      <c r="I59" s="146">
        <f t="shared" si="11"/>
        <v>419503</v>
      </c>
      <c r="J59" s="130"/>
      <c r="K59" s="130"/>
    </row>
    <row r="60" spans="1:12" x14ac:dyDescent="0.2">
      <c r="A60" s="21">
        <f t="shared" si="10"/>
        <v>1238</v>
      </c>
      <c r="B60" s="99" t="s">
        <v>282</v>
      </c>
      <c r="C60" s="99" t="str">
        <f>'3...Material'!C60</f>
        <v>Spring Gulch RP</v>
      </c>
      <c r="D60" s="99" t="str">
        <f>'3...Material'!D60</f>
        <v>Front RP</v>
      </c>
      <c r="E60" s="130"/>
      <c r="F60" s="146"/>
      <c r="G60" s="146">
        <v>13213</v>
      </c>
      <c r="H60" s="143">
        <f t="shared" si="12"/>
        <v>0</v>
      </c>
      <c r="I60" s="146">
        <f t="shared" si="11"/>
        <v>13213</v>
      </c>
      <c r="J60" s="130"/>
      <c r="K60" s="130"/>
    </row>
    <row r="61" spans="1:12" x14ac:dyDescent="0.2">
      <c r="A61" s="21">
        <f t="shared" si="10"/>
        <v>1239</v>
      </c>
      <c r="B61" s="99" t="s">
        <v>282</v>
      </c>
      <c r="C61" s="99" t="str">
        <f>'3...Material'!C61</f>
        <v>Front RP</v>
      </c>
      <c r="D61" s="99" t="str">
        <f>'3...Material'!D61</f>
        <v>Goathill South RP</v>
      </c>
      <c r="E61" s="130"/>
      <c r="F61" s="146"/>
      <c r="G61" s="146">
        <v>13213</v>
      </c>
      <c r="H61" s="143">
        <f t="shared" si="12"/>
        <v>0</v>
      </c>
      <c r="I61" s="146">
        <f t="shared" si="11"/>
        <v>13213</v>
      </c>
      <c r="J61" s="130"/>
      <c r="K61" s="130"/>
    </row>
    <row r="62" spans="1:12" x14ac:dyDescent="0.2">
      <c r="A62" s="21">
        <f t="shared" si="10"/>
        <v>1240</v>
      </c>
      <c r="B62" s="99" t="s">
        <v>282</v>
      </c>
      <c r="C62" s="99" t="str">
        <f>'3...Material'!C62</f>
        <v>Front RP</v>
      </c>
      <c r="D62" s="99" t="str">
        <f>'3...Material'!D62</f>
        <v>Front RP</v>
      </c>
      <c r="E62" s="130"/>
      <c r="F62" s="146"/>
      <c r="G62" s="146">
        <v>769433</v>
      </c>
      <c r="H62" s="143">
        <f t="shared" si="12"/>
        <v>0</v>
      </c>
      <c r="I62" s="146">
        <f t="shared" si="11"/>
        <v>769433</v>
      </c>
      <c r="J62" s="130"/>
      <c r="K62" s="130"/>
    </row>
    <row r="63" spans="1:12" x14ac:dyDescent="0.2">
      <c r="A63" s="21">
        <f t="shared" si="10"/>
        <v>1241</v>
      </c>
      <c r="B63" s="99" t="s">
        <v>282</v>
      </c>
      <c r="C63" s="99" t="str">
        <f>'3...Material'!C63</f>
        <v>Spring Gulch RP</v>
      </c>
      <c r="D63" s="99" t="str">
        <f>'3...Material'!D63</f>
        <v>Spring Gulch RP</v>
      </c>
      <c r="E63" s="130"/>
      <c r="F63" s="146"/>
      <c r="G63" s="146">
        <v>299499</v>
      </c>
      <c r="H63" s="143">
        <f t="shared" si="12"/>
        <v>0</v>
      </c>
      <c r="I63" s="146">
        <f t="shared" si="11"/>
        <v>299499</v>
      </c>
      <c r="J63" s="130"/>
      <c r="K63" s="130"/>
    </row>
    <row r="64" spans="1:12" x14ac:dyDescent="0.2">
      <c r="A64" s="21">
        <f t="shared" si="10"/>
        <v>1242</v>
      </c>
      <c r="B64" s="99" t="s">
        <v>282</v>
      </c>
      <c r="C64" s="99" t="str">
        <f>'3...Material'!C64</f>
        <v>Spring Gulch RP</v>
      </c>
      <c r="D64" s="99" t="str">
        <f>'3...Material'!D64</f>
        <v>Front RP Long</v>
      </c>
      <c r="E64" s="130"/>
      <c r="F64" s="146"/>
      <c r="G64" s="146">
        <v>217318</v>
      </c>
      <c r="H64" s="143">
        <f t="shared" si="12"/>
        <v>0</v>
      </c>
      <c r="I64" s="146">
        <f>G64*(1+H64)</f>
        <v>217318</v>
      </c>
      <c r="J64" s="130"/>
      <c r="K64" s="130"/>
    </row>
    <row r="65" spans="1:17" x14ac:dyDescent="0.2">
      <c r="A65" s="21">
        <f t="shared" si="10"/>
        <v>1243</v>
      </c>
      <c r="B65" s="99" t="s">
        <v>282</v>
      </c>
      <c r="C65" s="99" t="str">
        <f>'3...Material'!C65</f>
        <v>Spring Gulch RP</v>
      </c>
      <c r="D65" s="99" t="str">
        <f>'3...Material'!D65</f>
        <v>Front RP Middle</v>
      </c>
      <c r="E65" s="130"/>
      <c r="F65" s="146"/>
      <c r="G65" s="146">
        <v>727727</v>
      </c>
      <c r="H65" s="143"/>
      <c r="I65" s="146"/>
      <c r="J65" s="130"/>
      <c r="K65" s="130"/>
    </row>
    <row r="66" spans="1:17" x14ac:dyDescent="0.2">
      <c r="A66" s="21">
        <f t="shared" si="10"/>
        <v>1244</v>
      </c>
      <c r="B66" s="99" t="s">
        <v>282</v>
      </c>
      <c r="C66" s="99" t="str">
        <f>'3...Material'!C66</f>
        <v>Spring Gulch RP</v>
      </c>
      <c r="D66" s="99" t="str">
        <f>'3...Material'!D66</f>
        <v>Front RP Short</v>
      </c>
      <c r="E66" s="130"/>
      <c r="F66" s="146"/>
      <c r="G66" s="146">
        <v>1228905</v>
      </c>
      <c r="H66" s="143"/>
      <c r="I66" s="146"/>
      <c r="J66" s="130"/>
      <c r="K66" s="130"/>
    </row>
    <row r="67" spans="1:17" x14ac:dyDescent="0.2">
      <c r="A67" s="21">
        <f t="shared" si="10"/>
        <v>1245</v>
      </c>
      <c r="B67" s="99" t="s">
        <v>282</v>
      </c>
      <c r="C67" s="99" t="str">
        <f>'3...Material'!C67</f>
        <v>Spring Gulch RP</v>
      </c>
      <c r="D67" s="99" t="str">
        <f>'3...Material'!D67</f>
        <v>Blind Gulch/Sulphur RP</v>
      </c>
      <c r="E67" s="130"/>
      <c r="F67" s="146"/>
      <c r="G67" s="146">
        <v>279311</v>
      </c>
      <c r="H67" s="143">
        <f>$H$55</f>
        <v>0</v>
      </c>
      <c r="I67" s="146">
        <f>G67*(1+H67)</f>
        <v>279311</v>
      </c>
      <c r="J67" s="130"/>
      <c r="K67" s="130"/>
      <c r="L67" s="99"/>
      <c r="M67" s="99"/>
      <c r="N67" s="99"/>
      <c r="O67" s="99"/>
      <c r="P67" s="99"/>
      <c r="Q67" s="99"/>
    </row>
    <row r="68" spans="1:17" x14ac:dyDescent="0.2">
      <c r="A68" s="21">
        <f t="shared" si="10"/>
        <v>1246</v>
      </c>
      <c r="B68" s="99" t="s">
        <v>282</v>
      </c>
      <c r="C68" s="99" t="s">
        <v>279</v>
      </c>
      <c r="D68" s="99" t="s">
        <v>277</v>
      </c>
      <c r="E68" s="130"/>
      <c r="F68" s="146"/>
      <c r="G68" s="146">
        <v>540000</v>
      </c>
      <c r="H68" s="143">
        <f>$H$55</f>
        <v>0</v>
      </c>
      <c r="I68" s="146">
        <f>G68*(1+H68)</f>
        <v>540000</v>
      </c>
      <c r="J68" s="130"/>
      <c r="K68" s="130"/>
    </row>
    <row r="69" spans="1:17" x14ac:dyDescent="0.2">
      <c r="A69" s="21">
        <f t="shared" si="10"/>
        <v>1247</v>
      </c>
      <c r="B69" s="99"/>
      <c r="C69" s="99"/>
      <c r="E69" s="130"/>
      <c r="F69" s="119" t="s">
        <v>302</v>
      </c>
      <c r="G69" s="24">
        <f>SUM(G55:G68)</f>
        <v>6505658</v>
      </c>
      <c r="H69" s="143"/>
      <c r="I69" s="146"/>
      <c r="J69" s="130"/>
      <c r="K69" s="130"/>
    </row>
    <row r="70" spans="1:17" x14ac:dyDescent="0.2">
      <c r="A70" s="21"/>
      <c r="B70" s="99"/>
      <c r="C70" s="99"/>
      <c r="E70" s="130"/>
      <c r="F70" s="146"/>
      <c r="G70" s="146"/>
      <c r="H70" s="143"/>
      <c r="I70" s="146"/>
      <c r="J70" s="130"/>
      <c r="K70" s="130"/>
    </row>
    <row r="71" spans="1:17" x14ac:dyDescent="0.2">
      <c r="A71" s="21">
        <v>1301</v>
      </c>
      <c r="B71" s="99" t="s">
        <v>283</v>
      </c>
      <c r="C71" s="148" t="str">
        <f t="shared" ref="C71:D101" si="13">C21</f>
        <v>Front RP 9350'</v>
      </c>
      <c r="D71" s="148" t="str">
        <f t="shared" si="13"/>
        <v>Pit Repository Ramp 8770' to 8520'</v>
      </c>
      <c r="E71" s="130"/>
      <c r="F71" s="146"/>
      <c r="G71" s="146">
        <v>2437000</v>
      </c>
      <c r="H71" s="143">
        <v>0</v>
      </c>
      <c r="I71" s="146">
        <f t="shared" ref="I71:I98" si="14">G71*(1+H71)</f>
        <v>2437000</v>
      </c>
      <c r="J71" s="130"/>
      <c r="K71" s="130"/>
    </row>
    <row r="72" spans="1:17" x14ac:dyDescent="0.2">
      <c r="A72" s="21">
        <f>1+A71</f>
        <v>1302</v>
      </c>
      <c r="B72" s="99" t="s">
        <v>283</v>
      </c>
      <c r="C72" s="148" t="str">
        <f t="shared" si="13"/>
        <v>Front RP 8850' to 8950'</v>
      </c>
      <c r="D72" s="148" t="str">
        <f t="shared" si="13"/>
        <v>Pit Repository 8870 to 8900</v>
      </c>
      <c r="E72" s="130"/>
      <c r="F72" s="146"/>
      <c r="G72" s="146">
        <v>5218000</v>
      </c>
      <c r="H72" s="143">
        <f>H71</f>
        <v>0</v>
      </c>
      <c r="I72" s="146">
        <f t="shared" si="14"/>
        <v>5218000</v>
      </c>
      <c r="J72" s="130"/>
      <c r="K72" s="130"/>
    </row>
    <row r="73" spans="1:17" x14ac:dyDescent="0.2">
      <c r="A73" s="21">
        <f t="shared" ref="A73:A102" si="15">1+A72</f>
        <v>1303</v>
      </c>
      <c r="B73" s="99" t="s">
        <v>283</v>
      </c>
      <c r="C73" s="148" t="str">
        <f t="shared" si="13"/>
        <v>Front RP 8950' to 9050'</v>
      </c>
      <c r="D73" s="148" t="str">
        <f t="shared" si="13"/>
        <v>Pit Repository 8870 to 8900</v>
      </c>
      <c r="E73" s="130"/>
      <c r="F73" s="146"/>
      <c r="G73" s="146">
        <v>1348000</v>
      </c>
      <c r="H73" s="143">
        <f t="shared" ref="H73:H102" si="16">H72</f>
        <v>0</v>
      </c>
      <c r="I73" s="146">
        <f t="shared" si="14"/>
        <v>1348000</v>
      </c>
      <c r="J73" s="130"/>
      <c r="K73" s="130"/>
    </row>
    <row r="74" spans="1:17" x14ac:dyDescent="0.2">
      <c r="A74" s="21">
        <f t="shared" si="15"/>
        <v>1304</v>
      </c>
      <c r="B74" s="99" t="s">
        <v>283</v>
      </c>
      <c r="C74" s="148" t="str">
        <f t="shared" si="13"/>
        <v>Front RP 8750 to 8850</v>
      </c>
      <c r="D74" s="148" t="str">
        <f t="shared" si="13"/>
        <v>Pit Repository 8770 to 8900</v>
      </c>
      <c r="E74" s="130"/>
      <c r="F74" s="146"/>
      <c r="G74" s="146">
        <v>3746000</v>
      </c>
      <c r="H74" s="143">
        <f t="shared" si="16"/>
        <v>0</v>
      </c>
      <c r="I74" s="146">
        <f t="shared" ref="I74:I87" si="17">G74*(1+H74)</f>
        <v>3746000</v>
      </c>
      <c r="J74" s="130"/>
      <c r="K74" s="130"/>
    </row>
    <row r="75" spans="1:17" x14ac:dyDescent="0.2">
      <c r="A75" s="21">
        <f t="shared" si="15"/>
        <v>1305</v>
      </c>
      <c r="B75" s="99" t="s">
        <v>283</v>
      </c>
      <c r="C75" s="148" t="str">
        <f t="shared" si="13"/>
        <v>Front RP 8550 to 8650</v>
      </c>
      <c r="D75" s="148" t="str">
        <f t="shared" si="13"/>
        <v>Pit Repository 8900 to 9130</v>
      </c>
      <c r="E75" s="130"/>
      <c r="F75" s="146"/>
      <c r="G75" s="146">
        <v>234000</v>
      </c>
      <c r="H75" s="143">
        <f t="shared" si="16"/>
        <v>0</v>
      </c>
      <c r="I75" s="146">
        <f t="shared" si="17"/>
        <v>234000</v>
      </c>
      <c r="J75" s="130"/>
      <c r="K75" s="130"/>
    </row>
    <row r="76" spans="1:17" x14ac:dyDescent="0.2">
      <c r="A76" s="21">
        <f t="shared" si="15"/>
        <v>1306</v>
      </c>
      <c r="B76" s="99" t="s">
        <v>283</v>
      </c>
      <c r="C76" s="148" t="str">
        <f t="shared" si="13"/>
        <v>Front RP 8450 to 8550</v>
      </c>
      <c r="D76" s="148" t="str">
        <f t="shared" si="13"/>
        <v>Pit Repository 8900 to 9130</v>
      </c>
      <c r="E76" s="130"/>
      <c r="F76" s="146"/>
      <c r="G76" s="146">
        <v>511000</v>
      </c>
      <c r="H76" s="143">
        <f t="shared" si="16"/>
        <v>0</v>
      </c>
      <c r="I76" s="146">
        <f t="shared" si="17"/>
        <v>511000</v>
      </c>
      <c r="J76" s="130"/>
      <c r="K76" s="130"/>
    </row>
    <row r="77" spans="1:17" x14ac:dyDescent="0.2">
      <c r="A77" s="21">
        <f t="shared" si="15"/>
        <v>1307</v>
      </c>
      <c r="B77" s="99" t="s">
        <v>283</v>
      </c>
      <c r="C77" s="148" t="str">
        <f t="shared" si="13"/>
        <v>Front RP 9250 to 9350</v>
      </c>
      <c r="D77" s="148" t="str">
        <f t="shared" si="13"/>
        <v>Pit Repository Ramp 8770 to 8520</v>
      </c>
      <c r="E77" s="130"/>
      <c r="F77" s="146"/>
      <c r="G77" s="146">
        <v>913000</v>
      </c>
      <c r="H77" s="143">
        <f t="shared" si="16"/>
        <v>0</v>
      </c>
      <c r="I77" s="146">
        <f t="shared" si="17"/>
        <v>913000</v>
      </c>
      <c r="J77" s="130"/>
      <c r="K77" s="130"/>
    </row>
    <row r="78" spans="1:17" x14ac:dyDescent="0.2">
      <c r="A78" s="21">
        <f t="shared" si="15"/>
        <v>1308</v>
      </c>
      <c r="B78" s="99" t="s">
        <v>283</v>
      </c>
      <c r="C78" s="148" t="str">
        <f t="shared" si="13"/>
        <v>Front RP 9250 to 9350</v>
      </c>
      <c r="D78" s="148" t="str">
        <f t="shared" si="13"/>
        <v>Pit Repository 8520 to 8650</v>
      </c>
      <c r="E78" s="130"/>
      <c r="F78" s="146"/>
      <c r="G78" s="146">
        <v>2021000</v>
      </c>
      <c r="H78" s="143">
        <f t="shared" si="16"/>
        <v>0</v>
      </c>
      <c r="I78" s="146">
        <f t="shared" si="17"/>
        <v>2021000</v>
      </c>
      <c r="J78" s="130"/>
      <c r="K78" s="130"/>
    </row>
    <row r="79" spans="1:17" x14ac:dyDescent="0.2">
      <c r="A79" s="21">
        <f t="shared" si="15"/>
        <v>1309</v>
      </c>
      <c r="B79" s="99" t="s">
        <v>283</v>
      </c>
      <c r="C79" s="148" t="str">
        <f t="shared" si="13"/>
        <v>Front RP 9050 to 9150</v>
      </c>
      <c r="D79" s="148" t="str">
        <f t="shared" si="13"/>
        <v>Pit Repository 8650 to 8770</v>
      </c>
      <c r="E79" s="130"/>
      <c r="F79" s="146"/>
      <c r="G79" s="146">
        <v>4674000</v>
      </c>
      <c r="H79" s="143">
        <f t="shared" si="16"/>
        <v>0</v>
      </c>
      <c r="I79" s="146">
        <f t="shared" si="17"/>
        <v>4674000</v>
      </c>
      <c r="J79" s="130"/>
      <c r="K79" s="130"/>
    </row>
    <row r="80" spans="1:17" x14ac:dyDescent="0.2">
      <c r="A80" s="21">
        <f t="shared" si="15"/>
        <v>1310</v>
      </c>
      <c r="B80" s="99" t="s">
        <v>283</v>
      </c>
      <c r="C80" s="148" t="str">
        <f t="shared" si="13"/>
        <v>Front RP 8950 to 9050</v>
      </c>
      <c r="D80" s="148" t="str">
        <f t="shared" si="13"/>
        <v>Pit Repository 8650 to 8770</v>
      </c>
      <c r="E80" s="130"/>
      <c r="F80" s="146"/>
      <c r="G80" s="146">
        <v>3964000</v>
      </c>
      <c r="H80" s="143">
        <f t="shared" si="16"/>
        <v>0</v>
      </c>
      <c r="I80" s="146">
        <f t="shared" si="17"/>
        <v>3964000</v>
      </c>
      <c r="J80" s="130"/>
      <c r="K80" s="130"/>
    </row>
    <row r="81" spans="1:11" x14ac:dyDescent="0.2">
      <c r="A81" s="21">
        <f t="shared" si="15"/>
        <v>1311</v>
      </c>
      <c r="B81" s="99" t="s">
        <v>283</v>
      </c>
      <c r="C81" s="148" t="str">
        <f t="shared" si="13"/>
        <v>Front RP 8650 to 8750</v>
      </c>
      <c r="D81" s="148" t="str">
        <f t="shared" si="13"/>
        <v>Blind Gulch Bottom</v>
      </c>
      <c r="E81" s="130"/>
      <c r="F81" s="146"/>
      <c r="G81" s="146">
        <v>1662000</v>
      </c>
      <c r="H81" s="143">
        <f t="shared" si="16"/>
        <v>0</v>
      </c>
      <c r="I81" s="146">
        <f t="shared" si="17"/>
        <v>1662000</v>
      </c>
      <c r="J81" s="130"/>
      <c r="K81" s="130"/>
    </row>
    <row r="82" spans="1:11" x14ac:dyDescent="0.2">
      <c r="A82" s="21">
        <f t="shared" si="15"/>
        <v>1312</v>
      </c>
      <c r="B82" s="99" t="s">
        <v>283</v>
      </c>
      <c r="C82" s="148" t="str">
        <f t="shared" si="13"/>
        <v>Front RP 9150 to 9250</v>
      </c>
      <c r="D82" s="148" t="str">
        <f t="shared" si="13"/>
        <v>Pit Repository 8520 to 8650</v>
      </c>
      <c r="E82" s="130"/>
      <c r="F82" s="146"/>
      <c r="G82" s="146">
        <v>4345000</v>
      </c>
      <c r="H82" s="143">
        <f t="shared" si="16"/>
        <v>0</v>
      </c>
      <c r="I82" s="146">
        <f t="shared" si="17"/>
        <v>4345000</v>
      </c>
      <c r="J82" s="130"/>
      <c r="K82" s="130"/>
    </row>
    <row r="83" spans="1:11" x14ac:dyDescent="0.2">
      <c r="A83" s="21">
        <f t="shared" si="15"/>
        <v>1313</v>
      </c>
      <c r="B83" s="99" t="s">
        <v>283</v>
      </c>
      <c r="C83" s="148" t="str">
        <f t="shared" si="13"/>
        <v>Front RP 8550 to 8650</v>
      </c>
      <c r="D83" s="148" t="str">
        <f t="shared" si="13"/>
        <v>Blind Gulch Bottom</v>
      </c>
      <c r="E83" s="130"/>
      <c r="F83" s="146"/>
      <c r="G83" s="146">
        <v>2085000</v>
      </c>
      <c r="H83" s="143">
        <f t="shared" si="16"/>
        <v>0</v>
      </c>
      <c r="I83" s="146">
        <f t="shared" si="17"/>
        <v>2085000</v>
      </c>
      <c r="J83" s="130"/>
      <c r="K83" s="130"/>
    </row>
    <row r="84" spans="1:11" x14ac:dyDescent="0.2">
      <c r="A84" s="21">
        <f t="shared" si="15"/>
        <v>1314</v>
      </c>
      <c r="B84" s="99" t="s">
        <v>283</v>
      </c>
      <c r="C84" s="148" t="str">
        <f t="shared" si="13"/>
        <v>Front RP 9050 to 9150</v>
      </c>
      <c r="D84" s="148" t="str">
        <f t="shared" si="13"/>
        <v>Pit Repository 8520 to 8650</v>
      </c>
      <c r="E84" s="130"/>
      <c r="F84" s="146"/>
      <c r="G84" s="146">
        <v>163000</v>
      </c>
      <c r="H84" s="143">
        <f t="shared" si="16"/>
        <v>0</v>
      </c>
      <c r="I84" s="146">
        <f t="shared" si="17"/>
        <v>163000</v>
      </c>
      <c r="J84" s="130"/>
      <c r="K84" s="130"/>
    </row>
    <row r="85" spans="1:11" x14ac:dyDescent="0.2">
      <c r="A85" s="21">
        <f t="shared" si="15"/>
        <v>1315</v>
      </c>
      <c r="B85" s="99" t="s">
        <v>283</v>
      </c>
      <c r="C85" s="148" t="str">
        <f t="shared" si="13"/>
        <v>Front RP 8750 to 8850</v>
      </c>
      <c r="D85" s="148" t="str">
        <f t="shared" si="13"/>
        <v>Pit Repository 8650 to 8770</v>
      </c>
      <c r="E85" s="130"/>
      <c r="F85" s="146"/>
      <c r="G85" s="146">
        <v>687000</v>
      </c>
      <c r="H85" s="143">
        <f t="shared" si="16"/>
        <v>0</v>
      </c>
      <c r="I85" s="146">
        <f t="shared" si="17"/>
        <v>687000</v>
      </c>
      <c r="J85" s="130"/>
      <c r="K85" s="130"/>
    </row>
    <row r="86" spans="1:11" x14ac:dyDescent="0.2">
      <c r="A86" s="21">
        <f t="shared" si="15"/>
        <v>1316</v>
      </c>
      <c r="B86" s="99" t="s">
        <v>283</v>
      </c>
      <c r="C86" s="148" t="str">
        <f t="shared" si="13"/>
        <v>Front RP 8650 to 8750</v>
      </c>
      <c r="D86" s="148" t="str">
        <f t="shared" si="13"/>
        <v>Pit Repository 8650 to 8770</v>
      </c>
      <c r="E86" s="130"/>
      <c r="F86" s="146"/>
      <c r="G86" s="146">
        <v>1152000</v>
      </c>
      <c r="H86" s="143">
        <f t="shared" si="16"/>
        <v>0</v>
      </c>
      <c r="I86" s="146">
        <f t="shared" si="17"/>
        <v>1152000</v>
      </c>
      <c r="J86" s="130"/>
      <c r="K86" s="130"/>
    </row>
    <row r="87" spans="1:11" x14ac:dyDescent="0.2">
      <c r="A87" s="21">
        <f t="shared" si="15"/>
        <v>1317</v>
      </c>
      <c r="B87" s="99" t="s">
        <v>283</v>
      </c>
      <c r="C87" s="148" t="str">
        <f t="shared" si="13"/>
        <v>Front RP 9350 and above</v>
      </c>
      <c r="D87" s="148" t="str">
        <f t="shared" si="13"/>
        <v>Pit Repository Top</v>
      </c>
      <c r="E87" s="130"/>
      <c r="F87" s="146"/>
      <c r="G87" s="146">
        <v>1240000</v>
      </c>
      <c r="H87" s="143">
        <f t="shared" si="16"/>
        <v>0</v>
      </c>
      <c r="I87" s="146">
        <f t="shared" si="17"/>
        <v>1240000</v>
      </c>
      <c r="J87" s="130"/>
      <c r="K87" s="130"/>
    </row>
    <row r="88" spans="1:11" x14ac:dyDescent="0.2">
      <c r="A88" s="21">
        <f t="shared" si="15"/>
        <v>1318</v>
      </c>
      <c r="B88" s="99" t="s">
        <v>283</v>
      </c>
      <c r="C88" s="148" t="str">
        <f t="shared" si="13"/>
        <v>Spring Gulch RP</v>
      </c>
      <c r="D88" s="148" t="str">
        <f t="shared" si="13"/>
        <v>Blind Gulch RP</v>
      </c>
      <c r="E88" s="130"/>
      <c r="F88" s="146"/>
      <c r="G88" s="146">
        <f t="shared" ref="G88:G100" si="18">G38</f>
        <v>750000</v>
      </c>
      <c r="H88" s="143">
        <f>H73</f>
        <v>0</v>
      </c>
      <c r="I88" s="146">
        <f t="shared" si="14"/>
        <v>750000</v>
      </c>
      <c r="J88" s="130"/>
      <c r="K88" s="130"/>
    </row>
    <row r="89" spans="1:11" x14ac:dyDescent="0.2">
      <c r="A89" s="21">
        <f t="shared" si="15"/>
        <v>1319</v>
      </c>
      <c r="B89" s="99" t="s">
        <v>283</v>
      </c>
      <c r="C89" s="148" t="str">
        <f t="shared" si="13"/>
        <v>Spring Gulch RP</v>
      </c>
      <c r="D89" s="148" t="str">
        <f t="shared" si="13"/>
        <v>Pit Repository</v>
      </c>
      <c r="E89" s="130"/>
      <c r="F89" s="146"/>
      <c r="G89" s="146">
        <f t="shared" si="18"/>
        <v>4900000</v>
      </c>
      <c r="H89" s="143">
        <f t="shared" si="16"/>
        <v>0</v>
      </c>
      <c r="I89" s="146">
        <f t="shared" si="14"/>
        <v>4900000</v>
      </c>
      <c r="J89" s="130"/>
      <c r="K89" s="130"/>
    </row>
    <row r="90" spans="1:11" x14ac:dyDescent="0.2">
      <c r="A90" s="21">
        <f t="shared" si="15"/>
        <v>1320</v>
      </c>
      <c r="B90" s="99" t="s">
        <v>283</v>
      </c>
      <c r="C90" s="148" t="str">
        <f t="shared" si="13"/>
        <v>Blind Gulch RP</v>
      </c>
      <c r="D90" s="148" t="str">
        <f t="shared" si="13"/>
        <v>Blind Gulch RP</v>
      </c>
      <c r="E90" s="130"/>
      <c r="F90" s="146"/>
      <c r="G90" s="146">
        <f t="shared" si="18"/>
        <v>2269500</v>
      </c>
      <c r="H90" s="143">
        <f t="shared" si="16"/>
        <v>0</v>
      </c>
      <c r="I90" s="146">
        <f t="shared" si="14"/>
        <v>2269500</v>
      </c>
      <c r="J90" s="130"/>
      <c r="K90" s="130"/>
    </row>
    <row r="91" spans="1:11" x14ac:dyDescent="0.2">
      <c r="A91" s="21">
        <f t="shared" si="15"/>
        <v>1321</v>
      </c>
      <c r="B91" s="99" t="s">
        <v>283</v>
      </c>
      <c r="C91" s="148" t="str">
        <f t="shared" si="13"/>
        <v>Front RP</v>
      </c>
      <c r="D91" s="148" t="str">
        <f t="shared" si="13"/>
        <v>Front RP</v>
      </c>
      <c r="E91" s="130"/>
      <c r="F91" s="146"/>
      <c r="G91" s="146">
        <f t="shared" si="18"/>
        <v>1450000</v>
      </c>
      <c r="H91" s="143">
        <f t="shared" si="16"/>
        <v>0</v>
      </c>
      <c r="I91" s="146">
        <f t="shared" si="14"/>
        <v>1450000</v>
      </c>
      <c r="J91" s="130"/>
      <c r="K91" s="130"/>
    </row>
    <row r="92" spans="1:11" x14ac:dyDescent="0.2">
      <c r="A92" s="21">
        <f t="shared" si="15"/>
        <v>1322</v>
      </c>
      <c r="B92" s="99" t="s">
        <v>283</v>
      </c>
      <c r="C92" s="148" t="str">
        <f t="shared" si="13"/>
        <v>Front RP</v>
      </c>
      <c r="D92" s="148" t="str">
        <f t="shared" si="13"/>
        <v>Pit Repository</v>
      </c>
      <c r="E92" s="130"/>
      <c r="F92" s="146"/>
      <c r="G92" s="146">
        <f t="shared" si="18"/>
        <v>800000</v>
      </c>
      <c r="H92" s="143">
        <f t="shared" si="16"/>
        <v>0</v>
      </c>
      <c r="I92" s="146">
        <f t="shared" si="14"/>
        <v>800000</v>
      </c>
      <c r="J92" s="130"/>
      <c r="K92" s="130"/>
    </row>
    <row r="93" spans="1:11" x14ac:dyDescent="0.2">
      <c r="A93" s="21">
        <f t="shared" si="15"/>
        <v>1323</v>
      </c>
      <c r="B93" s="99" t="s">
        <v>283</v>
      </c>
      <c r="C93" s="148" t="str">
        <f t="shared" si="13"/>
        <v>Front RP Scars</v>
      </c>
      <c r="D93" s="148" t="str">
        <f t="shared" si="13"/>
        <v>Front RP</v>
      </c>
      <c r="E93" s="130"/>
      <c r="F93" s="146"/>
      <c r="G93" s="146">
        <f t="shared" si="18"/>
        <v>2916000</v>
      </c>
      <c r="H93" s="143">
        <f t="shared" si="16"/>
        <v>0</v>
      </c>
      <c r="I93" s="146">
        <f t="shared" si="14"/>
        <v>2916000</v>
      </c>
      <c r="J93" s="130"/>
      <c r="K93" s="130"/>
    </row>
    <row r="94" spans="1:11" x14ac:dyDescent="0.2">
      <c r="A94" s="21">
        <f t="shared" si="15"/>
        <v>1324</v>
      </c>
      <c r="B94" s="99" t="s">
        <v>283</v>
      </c>
      <c r="C94" s="148" t="str">
        <f t="shared" si="13"/>
        <v>Sugar Shack West RP</v>
      </c>
      <c r="D94" s="148" t="str">
        <f t="shared" si="13"/>
        <v>Sugar Shack West RP</v>
      </c>
      <c r="E94" s="130"/>
      <c r="F94" s="146"/>
      <c r="G94" s="146">
        <f t="shared" si="18"/>
        <v>1662564</v>
      </c>
      <c r="H94" s="143">
        <f t="shared" si="16"/>
        <v>0</v>
      </c>
      <c r="I94" s="146">
        <f t="shared" si="14"/>
        <v>1662564</v>
      </c>
      <c r="J94" s="130"/>
      <c r="K94" s="130"/>
    </row>
    <row r="95" spans="1:11" x14ac:dyDescent="0.2">
      <c r="A95" s="21">
        <f t="shared" si="15"/>
        <v>1325</v>
      </c>
      <c r="B95" s="99" t="s">
        <v>283</v>
      </c>
      <c r="C95" s="148" t="str">
        <f t="shared" si="13"/>
        <v>Goathill South RP</v>
      </c>
      <c r="D95" s="148" t="str">
        <f t="shared" si="13"/>
        <v>Sugar Shack West RP</v>
      </c>
      <c r="E95" s="130"/>
      <c r="F95" s="146"/>
      <c r="G95" s="146">
        <f t="shared" si="18"/>
        <v>295013</v>
      </c>
      <c r="H95" s="143">
        <f t="shared" si="16"/>
        <v>0</v>
      </c>
      <c r="I95" s="146">
        <f t="shared" si="14"/>
        <v>295013</v>
      </c>
      <c r="J95" s="130"/>
      <c r="K95" s="130"/>
    </row>
    <row r="96" spans="1:11" x14ac:dyDescent="0.2">
      <c r="A96" s="21">
        <f t="shared" si="15"/>
        <v>1326</v>
      </c>
      <c r="B96" s="99" t="s">
        <v>283</v>
      </c>
      <c r="C96" s="148" t="str">
        <f t="shared" si="13"/>
        <v>Front RP</v>
      </c>
      <c r="D96" s="148" t="str">
        <f t="shared" si="13"/>
        <v>Sugar Shack West RP</v>
      </c>
      <c r="E96" s="130"/>
      <c r="F96" s="146"/>
      <c r="G96" s="146">
        <f t="shared" si="18"/>
        <v>109115</v>
      </c>
      <c r="H96" s="143">
        <f t="shared" si="16"/>
        <v>0</v>
      </c>
      <c r="I96" s="146">
        <f t="shared" si="14"/>
        <v>109115</v>
      </c>
      <c r="J96" s="130"/>
      <c r="K96" s="130"/>
    </row>
    <row r="97" spans="1:11" x14ac:dyDescent="0.2">
      <c r="A97" s="21">
        <f t="shared" si="15"/>
        <v>1327</v>
      </c>
      <c r="B97" s="99" t="s">
        <v>721</v>
      </c>
      <c r="C97" s="148" t="str">
        <f t="shared" si="13"/>
        <v>Front RP</v>
      </c>
      <c r="D97" s="148" t="str">
        <f t="shared" si="13"/>
        <v>Front RP</v>
      </c>
      <c r="E97" s="130"/>
      <c r="F97" s="146"/>
      <c r="G97" s="146">
        <f t="shared" si="18"/>
        <v>300000</v>
      </c>
      <c r="H97" s="143">
        <f t="shared" si="16"/>
        <v>0</v>
      </c>
      <c r="I97" s="146">
        <f t="shared" si="14"/>
        <v>300000</v>
      </c>
      <c r="J97" s="130"/>
      <c r="K97" s="130"/>
    </row>
    <row r="98" spans="1:11" x14ac:dyDescent="0.2">
      <c r="A98" s="21">
        <f t="shared" si="15"/>
        <v>1328</v>
      </c>
      <c r="B98" s="99" t="s">
        <v>722</v>
      </c>
      <c r="C98" s="148" t="str">
        <f t="shared" si="13"/>
        <v>Spring Gulch RP</v>
      </c>
      <c r="D98" s="148" t="str">
        <f t="shared" si="13"/>
        <v>Pit Repository</v>
      </c>
      <c r="E98" s="130"/>
      <c r="F98" s="146"/>
      <c r="G98" s="146">
        <f t="shared" si="18"/>
        <v>476351</v>
      </c>
      <c r="H98" s="143">
        <f t="shared" si="16"/>
        <v>0</v>
      </c>
      <c r="I98" s="146">
        <f t="shared" si="14"/>
        <v>476351</v>
      </c>
      <c r="J98" s="130"/>
      <c r="K98" s="130"/>
    </row>
    <row r="99" spans="1:11" x14ac:dyDescent="0.2">
      <c r="A99" s="21">
        <f t="shared" si="15"/>
        <v>1329</v>
      </c>
      <c r="B99" s="99" t="s">
        <v>283</v>
      </c>
      <c r="C99" s="148" t="str">
        <f t="shared" si="13"/>
        <v>Goathill South RP</v>
      </c>
      <c r="D99" s="148" t="str">
        <f t="shared" si="13"/>
        <v>Sugar Shack West RP</v>
      </c>
      <c r="E99" s="130"/>
      <c r="G99" s="146">
        <f t="shared" si="18"/>
        <v>55669</v>
      </c>
      <c r="H99" s="143">
        <f t="shared" si="16"/>
        <v>0</v>
      </c>
      <c r="I99" s="146">
        <f t="shared" ref="I99:I100" si="19">G99*(1+H99)</f>
        <v>55669</v>
      </c>
      <c r="J99" s="130"/>
      <c r="K99" s="130"/>
    </row>
    <row r="100" spans="1:11" x14ac:dyDescent="0.2">
      <c r="A100" s="21">
        <f t="shared" si="15"/>
        <v>1330</v>
      </c>
      <c r="B100" s="99" t="s">
        <v>283</v>
      </c>
      <c r="C100" s="148" t="str">
        <f t="shared" si="13"/>
        <v>Goathill South RP</v>
      </c>
      <c r="D100" s="148" t="str">
        <f t="shared" si="13"/>
        <v>Sugar Shack West RP</v>
      </c>
      <c r="E100" s="130"/>
      <c r="F100" s="146"/>
      <c r="G100" s="146">
        <f t="shared" si="18"/>
        <v>57503</v>
      </c>
      <c r="H100" s="143">
        <f t="shared" si="16"/>
        <v>0</v>
      </c>
      <c r="I100" s="146">
        <f t="shared" si="19"/>
        <v>57503</v>
      </c>
      <c r="J100" s="130"/>
      <c r="K100" s="130"/>
    </row>
    <row r="101" spans="1:11" x14ac:dyDescent="0.2">
      <c r="A101" s="21">
        <f t="shared" si="15"/>
        <v>1331</v>
      </c>
      <c r="B101" s="148" t="s">
        <v>667</v>
      </c>
      <c r="C101" s="148" t="str">
        <f t="shared" si="13"/>
        <v>Spring Gulch - GHN HR</v>
      </c>
      <c r="D101" s="148" t="str">
        <f t="shared" si="13"/>
        <v>Spring Gulch - GHN HR</v>
      </c>
      <c r="E101" s="130"/>
      <c r="F101" s="146"/>
      <c r="G101" s="146">
        <v>17232</v>
      </c>
      <c r="H101" s="143">
        <f t="shared" si="16"/>
        <v>0</v>
      </c>
      <c r="I101" s="146">
        <f t="shared" ref="I101:I102" si="20">G101*(1+H101)</f>
        <v>17232</v>
      </c>
      <c r="J101" s="130"/>
      <c r="K101" s="130"/>
    </row>
    <row r="102" spans="1:11" x14ac:dyDescent="0.2">
      <c r="A102" s="21">
        <f t="shared" si="15"/>
        <v>1332</v>
      </c>
      <c r="B102" s="148" t="s">
        <v>667</v>
      </c>
      <c r="C102" s="148" t="s">
        <v>665</v>
      </c>
      <c r="D102" s="148" t="s">
        <v>665</v>
      </c>
      <c r="E102" s="130"/>
      <c r="F102" s="146"/>
      <c r="G102" s="146">
        <v>47908</v>
      </c>
      <c r="H102" s="143">
        <f t="shared" si="16"/>
        <v>0</v>
      </c>
      <c r="I102" s="146">
        <f t="shared" si="20"/>
        <v>47908</v>
      </c>
      <c r="J102" s="130"/>
      <c r="K102" s="130"/>
    </row>
    <row r="103" spans="1:11" x14ac:dyDescent="0.2">
      <c r="A103" s="21"/>
      <c r="B103" s="99"/>
      <c r="C103" s="148"/>
      <c r="D103" s="148"/>
      <c r="E103" s="130"/>
      <c r="F103" s="119" t="s">
        <v>302</v>
      </c>
      <c r="G103" s="24">
        <f>SUM(G71:G102)</f>
        <v>52506855</v>
      </c>
      <c r="H103" s="143"/>
      <c r="I103" s="146"/>
      <c r="J103" s="130"/>
      <c r="K103" s="130"/>
    </row>
    <row r="104" spans="1:11" x14ac:dyDescent="0.2">
      <c r="A104" s="21"/>
      <c r="B104" s="99"/>
      <c r="C104" s="148"/>
      <c r="D104" s="148"/>
      <c r="E104" s="130"/>
      <c r="F104" s="146"/>
      <c r="G104" s="146"/>
      <c r="H104" s="143"/>
      <c r="I104" s="146"/>
      <c r="J104" s="130"/>
      <c r="K104" s="130"/>
    </row>
    <row r="105" spans="1:11" x14ac:dyDescent="0.2">
      <c r="A105" s="21">
        <f>1+A102</f>
        <v>1333</v>
      </c>
      <c r="B105" s="99" t="s">
        <v>285</v>
      </c>
      <c r="C105" s="99" t="str">
        <f t="shared" ref="C105:D118" si="21">C55</f>
        <v>Spring Gulch RP</v>
      </c>
      <c r="D105" s="99" t="str">
        <f t="shared" si="21"/>
        <v>Pit Repository</v>
      </c>
      <c r="E105" s="130"/>
      <c r="F105" s="146"/>
      <c r="G105" s="146">
        <f t="shared" ref="G105:G118" si="22">G55</f>
        <v>643986</v>
      </c>
      <c r="H105" s="143">
        <v>0</v>
      </c>
      <c r="I105" s="146">
        <f>G105*(1+H105)</f>
        <v>643986</v>
      </c>
      <c r="J105" s="130"/>
      <c r="K105" s="130"/>
    </row>
    <row r="106" spans="1:11" x14ac:dyDescent="0.2">
      <c r="A106" s="21">
        <f>1+A105</f>
        <v>1334</v>
      </c>
      <c r="B106" s="99" t="s">
        <v>285</v>
      </c>
      <c r="C106" s="99" t="str">
        <f t="shared" si="21"/>
        <v>Spring Gulch RP</v>
      </c>
      <c r="D106" s="99" t="str">
        <f t="shared" si="21"/>
        <v>Blind Gulch/Sulphur RP Middle</v>
      </c>
      <c r="E106" s="130"/>
      <c r="F106" s="146"/>
      <c r="G106" s="146">
        <f t="shared" si="22"/>
        <v>677963</v>
      </c>
      <c r="H106" s="143">
        <f>H105</f>
        <v>0</v>
      </c>
      <c r="I106" s="146">
        <f t="shared" ref="I106:I114" si="23">G106*(1+H106)</f>
        <v>677963</v>
      </c>
      <c r="J106" s="130"/>
      <c r="K106" s="130"/>
    </row>
    <row r="107" spans="1:11" x14ac:dyDescent="0.2">
      <c r="A107" s="21">
        <f t="shared" ref="A107:A119" si="24">1+A106</f>
        <v>1335</v>
      </c>
      <c r="B107" s="99" t="s">
        <v>285</v>
      </c>
      <c r="C107" s="99" t="str">
        <f t="shared" si="21"/>
        <v>Spring Gulch RP</v>
      </c>
      <c r="D107" s="99" t="str">
        <f t="shared" si="21"/>
        <v>Blind Gulch/Sulphur RP Bottom</v>
      </c>
      <c r="E107" s="130"/>
      <c r="F107" s="146"/>
      <c r="G107" s="146">
        <f t="shared" si="22"/>
        <v>256084</v>
      </c>
      <c r="H107" s="143"/>
      <c r="I107" s="146"/>
      <c r="J107" s="130"/>
      <c r="K107" s="130"/>
    </row>
    <row r="108" spans="1:11" x14ac:dyDescent="0.2">
      <c r="A108" s="21">
        <f t="shared" si="24"/>
        <v>1336</v>
      </c>
      <c r="B108" s="99" t="s">
        <v>285</v>
      </c>
      <c r="C108" s="99" t="str">
        <f t="shared" si="21"/>
        <v>Spring Gulch RP</v>
      </c>
      <c r="D108" s="99" t="str">
        <f t="shared" si="21"/>
        <v>Front RP</v>
      </c>
      <c r="E108" s="130"/>
      <c r="F108" s="146"/>
      <c r="G108" s="146">
        <f t="shared" si="22"/>
        <v>419503</v>
      </c>
      <c r="H108" s="143">
        <f>H106</f>
        <v>0</v>
      </c>
      <c r="I108" s="146">
        <f t="shared" si="23"/>
        <v>419503</v>
      </c>
      <c r="J108" s="130"/>
      <c r="K108" s="130"/>
    </row>
    <row r="109" spans="1:11" x14ac:dyDescent="0.2">
      <c r="A109" s="21">
        <f t="shared" si="24"/>
        <v>1337</v>
      </c>
      <c r="B109" s="99" t="s">
        <v>285</v>
      </c>
      <c r="C109" s="99" t="str">
        <f t="shared" si="21"/>
        <v>Front RP</v>
      </c>
      <c r="D109" s="99" t="str">
        <f t="shared" si="21"/>
        <v>Sugar Shack West RP</v>
      </c>
      <c r="E109" s="130"/>
      <c r="F109" s="146"/>
      <c r="G109" s="146">
        <f t="shared" si="22"/>
        <v>419503</v>
      </c>
      <c r="H109" s="143">
        <f t="shared" ref="H109:H114" si="25">H108</f>
        <v>0</v>
      </c>
      <c r="I109" s="146">
        <f t="shared" si="23"/>
        <v>419503</v>
      </c>
      <c r="J109" s="130"/>
      <c r="K109" s="130"/>
    </row>
    <row r="110" spans="1:11" x14ac:dyDescent="0.2">
      <c r="A110" s="21">
        <f t="shared" si="24"/>
        <v>1338</v>
      </c>
      <c r="B110" s="99" t="s">
        <v>285</v>
      </c>
      <c r="C110" s="99" t="str">
        <f t="shared" si="21"/>
        <v>Spring Gulch RP</v>
      </c>
      <c r="D110" s="99" t="str">
        <f t="shared" si="21"/>
        <v>Front RP</v>
      </c>
      <c r="E110" s="130"/>
      <c r="F110" s="146"/>
      <c r="G110" s="146">
        <f t="shared" si="22"/>
        <v>13213</v>
      </c>
      <c r="H110" s="143">
        <f t="shared" si="25"/>
        <v>0</v>
      </c>
      <c r="I110" s="146">
        <f t="shared" si="23"/>
        <v>13213</v>
      </c>
      <c r="J110" s="130"/>
      <c r="K110" s="130"/>
    </row>
    <row r="111" spans="1:11" x14ac:dyDescent="0.2">
      <c r="A111" s="21">
        <f t="shared" si="24"/>
        <v>1339</v>
      </c>
      <c r="B111" s="99" t="s">
        <v>285</v>
      </c>
      <c r="C111" s="99" t="str">
        <f t="shared" si="21"/>
        <v>Front RP</v>
      </c>
      <c r="D111" s="99" t="str">
        <f t="shared" si="21"/>
        <v>Goathill South RP</v>
      </c>
      <c r="E111" s="130"/>
      <c r="F111" s="146"/>
      <c r="G111" s="146">
        <f t="shared" si="22"/>
        <v>13213</v>
      </c>
      <c r="H111" s="143">
        <f t="shared" si="25"/>
        <v>0</v>
      </c>
      <c r="I111" s="146">
        <f t="shared" si="23"/>
        <v>13213</v>
      </c>
      <c r="J111" s="130"/>
      <c r="K111" s="130"/>
    </row>
    <row r="112" spans="1:11" x14ac:dyDescent="0.2">
      <c r="A112" s="21">
        <f t="shared" si="24"/>
        <v>1340</v>
      </c>
      <c r="B112" s="99" t="s">
        <v>285</v>
      </c>
      <c r="C112" s="99" t="str">
        <f t="shared" si="21"/>
        <v>Front RP</v>
      </c>
      <c r="D112" s="99" t="str">
        <f t="shared" si="21"/>
        <v>Front RP</v>
      </c>
      <c r="E112" s="130"/>
      <c r="F112" s="146"/>
      <c r="G112" s="146">
        <f t="shared" si="22"/>
        <v>769433</v>
      </c>
      <c r="H112" s="143">
        <f t="shared" si="25"/>
        <v>0</v>
      </c>
      <c r="I112" s="146">
        <f t="shared" si="23"/>
        <v>769433</v>
      </c>
      <c r="J112" s="130"/>
      <c r="K112" s="130"/>
    </row>
    <row r="113" spans="1:11" x14ac:dyDescent="0.2">
      <c r="A113" s="21">
        <f t="shared" si="24"/>
        <v>1341</v>
      </c>
      <c r="B113" s="99" t="s">
        <v>285</v>
      </c>
      <c r="C113" s="99" t="str">
        <f t="shared" si="21"/>
        <v>Spring Gulch RP</v>
      </c>
      <c r="D113" s="99" t="str">
        <f t="shared" si="21"/>
        <v>Spring Gulch RP</v>
      </c>
      <c r="E113" s="130"/>
      <c r="F113" s="146"/>
      <c r="G113" s="146">
        <f t="shared" si="22"/>
        <v>299499</v>
      </c>
      <c r="H113" s="143">
        <f t="shared" si="25"/>
        <v>0</v>
      </c>
      <c r="I113" s="146">
        <f t="shared" si="23"/>
        <v>299499</v>
      </c>
      <c r="J113" s="130"/>
      <c r="K113" s="130"/>
    </row>
    <row r="114" spans="1:11" x14ac:dyDescent="0.2">
      <c r="A114" s="21">
        <f t="shared" si="24"/>
        <v>1342</v>
      </c>
      <c r="B114" s="99" t="s">
        <v>285</v>
      </c>
      <c r="C114" s="99" t="str">
        <f t="shared" si="21"/>
        <v>Spring Gulch RP</v>
      </c>
      <c r="D114" s="99" t="str">
        <f t="shared" si="21"/>
        <v>Front RP Long</v>
      </c>
      <c r="E114" s="130"/>
      <c r="F114" s="146"/>
      <c r="G114" s="146">
        <f t="shared" si="22"/>
        <v>217318</v>
      </c>
      <c r="H114" s="143">
        <f t="shared" si="25"/>
        <v>0</v>
      </c>
      <c r="I114" s="146">
        <f t="shared" si="23"/>
        <v>217318</v>
      </c>
      <c r="J114" s="130"/>
      <c r="K114" s="130"/>
    </row>
    <row r="115" spans="1:11" x14ac:dyDescent="0.2">
      <c r="A115" s="21">
        <f t="shared" si="24"/>
        <v>1343</v>
      </c>
      <c r="B115" s="99" t="s">
        <v>285</v>
      </c>
      <c r="C115" s="99" t="str">
        <f t="shared" si="21"/>
        <v>Spring Gulch RP</v>
      </c>
      <c r="D115" s="99" t="str">
        <f t="shared" si="21"/>
        <v>Front RP Middle</v>
      </c>
      <c r="E115" s="130"/>
      <c r="F115" s="146"/>
      <c r="G115" s="146">
        <f t="shared" si="22"/>
        <v>727727</v>
      </c>
      <c r="H115" s="143"/>
      <c r="I115" s="146"/>
      <c r="J115" s="130"/>
      <c r="K115" s="130"/>
    </row>
    <row r="116" spans="1:11" x14ac:dyDescent="0.2">
      <c r="A116" s="21">
        <f t="shared" si="24"/>
        <v>1344</v>
      </c>
      <c r="B116" s="99" t="s">
        <v>285</v>
      </c>
      <c r="C116" s="99" t="str">
        <f t="shared" si="21"/>
        <v>Spring Gulch RP</v>
      </c>
      <c r="D116" s="99" t="str">
        <f t="shared" si="21"/>
        <v>Front RP Short</v>
      </c>
      <c r="E116" s="130"/>
      <c r="F116" s="146"/>
      <c r="G116" s="146">
        <f t="shared" si="22"/>
        <v>1228905</v>
      </c>
      <c r="H116" s="143"/>
      <c r="I116" s="146"/>
      <c r="J116" s="130"/>
      <c r="K116" s="130"/>
    </row>
    <row r="117" spans="1:11" x14ac:dyDescent="0.2">
      <c r="A117" s="21">
        <f t="shared" si="24"/>
        <v>1345</v>
      </c>
      <c r="B117" s="99" t="s">
        <v>285</v>
      </c>
      <c r="C117" s="99" t="str">
        <f t="shared" si="21"/>
        <v>Spring Gulch RP</v>
      </c>
      <c r="D117" s="99" t="str">
        <f t="shared" si="21"/>
        <v>Blind Gulch/Sulphur RP</v>
      </c>
      <c r="E117" s="130"/>
      <c r="F117" s="146"/>
      <c r="G117" s="146">
        <f t="shared" si="22"/>
        <v>279311</v>
      </c>
      <c r="H117" s="143">
        <f>H114</f>
        <v>0</v>
      </c>
      <c r="I117" s="146">
        <f>G117*(1+H117)</f>
        <v>279311</v>
      </c>
      <c r="J117" s="130"/>
      <c r="K117" s="130"/>
    </row>
    <row r="118" spans="1:11" x14ac:dyDescent="0.2">
      <c r="A118" s="21">
        <f t="shared" si="24"/>
        <v>1346</v>
      </c>
      <c r="B118" s="99" t="s">
        <v>285</v>
      </c>
      <c r="C118" s="99" t="str">
        <f t="shared" si="21"/>
        <v>Spring Gulch RP</v>
      </c>
      <c r="D118" s="99" t="str">
        <f t="shared" si="21"/>
        <v>Capulin RP</v>
      </c>
      <c r="E118" s="130"/>
      <c r="F118" s="146"/>
      <c r="G118" s="146">
        <f t="shared" si="22"/>
        <v>540000</v>
      </c>
      <c r="H118" s="143">
        <v>0</v>
      </c>
      <c r="I118" s="146">
        <f>G118*(1+H118)</f>
        <v>540000</v>
      </c>
      <c r="J118" s="130"/>
      <c r="K118" s="130"/>
    </row>
    <row r="119" spans="1:11" x14ac:dyDescent="0.2">
      <c r="A119" s="21">
        <f t="shared" si="24"/>
        <v>1347</v>
      </c>
      <c r="B119" s="99"/>
      <c r="C119" s="99"/>
      <c r="E119" s="130"/>
      <c r="F119" s="119" t="s">
        <v>302</v>
      </c>
      <c r="G119" s="24">
        <f>SUM(G105:G118)</f>
        <v>6505658</v>
      </c>
      <c r="H119" s="143"/>
      <c r="I119" s="146"/>
      <c r="J119" s="130"/>
      <c r="K119" s="130"/>
    </row>
    <row r="120" spans="1:11" hidden="1" x14ac:dyDescent="0.2">
      <c r="A120" s="21"/>
      <c r="B120" s="99"/>
      <c r="C120" s="99"/>
      <c r="E120" s="130"/>
      <c r="F120" s="146"/>
      <c r="G120" s="146"/>
      <c r="H120" s="143"/>
      <c r="I120" s="146"/>
      <c r="J120" s="130"/>
      <c r="K120" s="130"/>
    </row>
    <row r="121" spans="1:11" hidden="1" x14ac:dyDescent="0.2">
      <c r="A121" s="21">
        <v>1401</v>
      </c>
      <c r="B121" s="99" t="s">
        <v>286</v>
      </c>
      <c r="C121" s="142">
        <f>'3...Material'!C119</f>
        <v>0</v>
      </c>
      <c r="E121" s="130">
        <f>E105</f>
        <v>0</v>
      </c>
      <c r="F121" s="146"/>
      <c r="G121" s="146"/>
      <c r="H121" s="146"/>
      <c r="I121" s="146"/>
      <c r="J121" s="130"/>
      <c r="K121" s="130"/>
    </row>
    <row r="122" spans="1:11" hidden="1" x14ac:dyDescent="0.2">
      <c r="A122" s="21">
        <f>1+A121</f>
        <v>1402</v>
      </c>
      <c r="B122" s="99" t="s">
        <v>286</v>
      </c>
      <c r="C122" s="142">
        <f>'3...Material'!C120</f>
        <v>0</v>
      </c>
      <c r="E122" s="130">
        <f>E106</f>
        <v>0</v>
      </c>
      <c r="F122" s="146"/>
      <c r="G122" s="146"/>
      <c r="H122" s="146"/>
      <c r="I122" s="146"/>
      <c r="J122" s="130"/>
      <c r="K122" s="130"/>
    </row>
    <row r="123" spans="1:11" hidden="1" x14ac:dyDescent="0.2">
      <c r="A123" s="21">
        <f t="shared" ref="A123:A131" si="26">1+A122</f>
        <v>1403</v>
      </c>
      <c r="B123" s="99" t="s">
        <v>286</v>
      </c>
      <c r="C123" s="142">
        <f>'3...Material'!C121</f>
        <v>0</v>
      </c>
      <c r="E123" s="130">
        <f t="shared" ref="E123:E128" si="27">E108</f>
        <v>0</v>
      </c>
      <c r="F123" s="146"/>
      <c r="G123" s="146"/>
      <c r="H123" s="146"/>
      <c r="I123" s="146"/>
      <c r="J123" s="130"/>
      <c r="K123" s="130"/>
    </row>
    <row r="124" spans="1:11" hidden="1" x14ac:dyDescent="0.2">
      <c r="A124" s="21">
        <f t="shared" si="26"/>
        <v>1404</v>
      </c>
      <c r="B124" s="99" t="s">
        <v>286</v>
      </c>
      <c r="C124" s="142">
        <f>'3...Material'!C122</f>
        <v>0</v>
      </c>
      <c r="E124" s="130">
        <f t="shared" si="27"/>
        <v>0</v>
      </c>
      <c r="F124" s="146"/>
      <c r="G124" s="146"/>
      <c r="H124" s="146"/>
      <c r="I124" s="146"/>
      <c r="J124" s="130"/>
      <c r="K124" s="130"/>
    </row>
    <row r="125" spans="1:11" hidden="1" x14ac:dyDescent="0.2">
      <c r="A125" s="21">
        <f t="shared" si="26"/>
        <v>1405</v>
      </c>
      <c r="B125" s="99" t="s">
        <v>286</v>
      </c>
      <c r="C125" s="142">
        <f>'3...Material'!C123</f>
        <v>0</v>
      </c>
      <c r="E125" s="130">
        <f t="shared" si="27"/>
        <v>0</v>
      </c>
      <c r="F125" s="146"/>
      <c r="G125" s="146"/>
      <c r="H125" s="146"/>
      <c r="I125" s="146"/>
      <c r="J125" s="130"/>
      <c r="K125" s="130"/>
    </row>
    <row r="126" spans="1:11" hidden="1" x14ac:dyDescent="0.2">
      <c r="A126" s="21">
        <f t="shared" si="26"/>
        <v>1406</v>
      </c>
      <c r="B126" s="99" t="s">
        <v>286</v>
      </c>
      <c r="C126" s="142">
        <f>'3...Material'!C124</f>
        <v>0</v>
      </c>
      <c r="E126" s="130">
        <f t="shared" si="27"/>
        <v>0</v>
      </c>
      <c r="F126" s="146"/>
      <c r="G126" s="146"/>
      <c r="H126" s="146"/>
      <c r="I126" s="146"/>
      <c r="J126" s="130"/>
      <c r="K126" s="130"/>
    </row>
    <row r="127" spans="1:11" hidden="1" x14ac:dyDescent="0.2">
      <c r="A127" s="21">
        <f t="shared" si="26"/>
        <v>1407</v>
      </c>
      <c r="B127" s="99" t="s">
        <v>286</v>
      </c>
      <c r="C127" s="142">
        <f>'3...Material'!C125</f>
        <v>0</v>
      </c>
      <c r="E127" s="130">
        <f t="shared" si="27"/>
        <v>0</v>
      </c>
      <c r="F127" s="146"/>
      <c r="G127" s="146"/>
      <c r="H127" s="146"/>
      <c r="I127" s="146"/>
      <c r="J127" s="130"/>
      <c r="K127" s="130"/>
    </row>
    <row r="128" spans="1:11" hidden="1" x14ac:dyDescent="0.2">
      <c r="A128" s="21">
        <f t="shared" si="26"/>
        <v>1408</v>
      </c>
      <c r="B128" s="99" t="s">
        <v>286</v>
      </c>
      <c r="C128" s="142">
        <f>'3...Material'!C126</f>
        <v>0</v>
      </c>
      <c r="E128" s="130">
        <f t="shared" si="27"/>
        <v>0</v>
      </c>
      <c r="F128" s="146"/>
      <c r="G128" s="146"/>
      <c r="H128" s="146"/>
      <c r="I128" s="146"/>
      <c r="J128" s="130"/>
      <c r="K128" s="130"/>
    </row>
    <row r="129" spans="1:13" hidden="1" x14ac:dyDescent="0.2">
      <c r="A129" s="21">
        <f t="shared" si="26"/>
        <v>1409</v>
      </c>
      <c r="B129" s="99" t="s">
        <v>286</v>
      </c>
      <c r="C129" s="142">
        <f>'3...Material'!C127</f>
        <v>0</v>
      </c>
      <c r="E129" s="130">
        <f>E117</f>
        <v>0</v>
      </c>
      <c r="F129" s="146"/>
      <c r="G129" s="146"/>
      <c r="H129" s="146"/>
      <c r="I129" s="146"/>
      <c r="J129" s="130"/>
      <c r="K129" s="130"/>
    </row>
    <row r="130" spans="1:13" hidden="1" x14ac:dyDescent="0.2">
      <c r="A130" s="21">
        <f t="shared" si="26"/>
        <v>1410</v>
      </c>
      <c r="B130" s="99" t="s">
        <v>286</v>
      </c>
      <c r="C130" s="142">
        <f>'3...Material'!C128</f>
        <v>0</v>
      </c>
      <c r="E130" s="130">
        <v>0</v>
      </c>
      <c r="F130" s="146"/>
      <c r="G130" s="146"/>
      <c r="H130" s="146"/>
      <c r="I130" s="146"/>
      <c r="J130" s="130"/>
      <c r="K130" s="130"/>
    </row>
    <row r="131" spans="1:13" hidden="1" x14ac:dyDescent="0.2">
      <c r="A131" s="21">
        <f t="shared" si="26"/>
        <v>1411</v>
      </c>
      <c r="B131" s="99" t="s">
        <v>286</v>
      </c>
      <c r="C131" s="142">
        <f>'3...Material'!C129</f>
        <v>0</v>
      </c>
      <c r="E131" s="130">
        <v>0</v>
      </c>
      <c r="F131" s="146"/>
      <c r="G131" s="146"/>
      <c r="H131" s="146"/>
      <c r="I131" s="146"/>
      <c r="J131" s="130"/>
      <c r="K131" s="130"/>
    </row>
    <row r="132" spans="1:13" hidden="1" x14ac:dyDescent="0.2">
      <c r="A132" s="21">
        <f t="shared" ref="A132" si="28">1+A131</f>
        <v>1412</v>
      </c>
      <c r="B132" s="99"/>
      <c r="C132" s="142"/>
      <c r="D132" s="119" t="s">
        <v>302</v>
      </c>
      <c r="E132" s="149">
        <f>SUM(E121:E131)</f>
        <v>0</v>
      </c>
      <c r="F132" s="146"/>
      <c r="G132" s="146"/>
      <c r="H132" s="146"/>
      <c r="I132" s="146"/>
      <c r="J132" s="130"/>
      <c r="K132" s="130"/>
    </row>
    <row r="133" spans="1:13" x14ac:dyDescent="0.2">
      <c r="A133" s="21"/>
      <c r="B133" s="99"/>
      <c r="C133" s="142"/>
      <c r="E133" s="130"/>
      <c r="F133" s="146"/>
      <c r="G133" s="146"/>
      <c r="H133" s="146"/>
      <c r="I133" s="146"/>
      <c r="J133" s="130"/>
      <c r="K133" s="130"/>
    </row>
    <row r="134" spans="1:13" x14ac:dyDescent="0.2">
      <c r="A134" s="21">
        <v>1501</v>
      </c>
      <c r="B134" s="99" t="s">
        <v>287</v>
      </c>
      <c r="C134" s="142" t="str">
        <f>'3...Material'!C132</f>
        <v>Front RP</v>
      </c>
      <c r="D134" s="142" t="str">
        <f>'3...Material'!D132</f>
        <v>PC5500/793</v>
      </c>
      <c r="E134" s="25"/>
      <c r="F134" s="146"/>
      <c r="G134" s="146">
        <v>36400000</v>
      </c>
      <c r="H134" s="146">
        <v>0</v>
      </c>
      <c r="I134" s="146">
        <f>G134*(1+H134)</f>
        <v>36400000</v>
      </c>
      <c r="J134" s="130"/>
      <c r="K134" s="130"/>
    </row>
    <row r="135" spans="1:13" x14ac:dyDescent="0.2">
      <c r="A135" s="21">
        <f t="shared" ref="A135:A144" si="29">1+A134</f>
        <v>1502</v>
      </c>
      <c r="B135" s="99" t="s">
        <v>287</v>
      </c>
      <c r="C135" s="142" t="str">
        <f>'3...Material'!C133</f>
        <v>Blind Gulch/Spring Gulch</v>
      </c>
      <c r="D135" s="142" t="str">
        <f>'3...Material'!D133</f>
        <v>PC2000/777</v>
      </c>
      <c r="E135" s="25"/>
      <c r="F135" s="146"/>
      <c r="G135" s="146">
        <v>7919500</v>
      </c>
      <c r="H135" s="146"/>
      <c r="I135" s="146"/>
      <c r="J135" s="130"/>
      <c r="K135" s="130"/>
    </row>
    <row r="136" spans="1:13" x14ac:dyDescent="0.2">
      <c r="A136" s="21">
        <f t="shared" si="29"/>
        <v>1503</v>
      </c>
      <c r="B136" s="99" t="s">
        <v>287</v>
      </c>
      <c r="C136" s="142" t="str">
        <f>'3...Material'!C134</f>
        <v>Non Goat Hill South</v>
      </c>
      <c r="D136" s="142" t="str">
        <f>'3...Material'!D134</f>
        <v>PC1250/740</v>
      </c>
      <c r="E136" s="25"/>
      <c r="F136" s="146"/>
      <c r="G136" s="146">
        <v>4687679</v>
      </c>
      <c r="H136" s="146"/>
      <c r="I136" s="146"/>
      <c r="J136" s="130"/>
      <c r="K136" s="130"/>
    </row>
    <row r="137" spans="1:13" x14ac:dyDescent="0.2">
      <c r="A137" s="21">
        <f t="shared" si="29"/>
        <v>1504</v>
      </c>
      <c r="B137" s="99" t="s">
        <v>287</v>
      </c>
      <c r="C137" s="142" t="str">
        <f>'3...Material'!C135</f>
        <v>Goat Hill South</v>
      </c>
      <c r="D137" s="142" t="str">
        <f>'3...Material'!D135</f>
        <v>PC1250/740</v>
      </c>
      <c r="E137" s="25"/>
      <c r="F137" s="146"/>
      <c r="G137" s="146">
        <v>295013</v>
      </c>
      <c r="H137" s="146"/>
      <c r="I137" s="146"/>
      <c r="J137" s="130"/>
      <c r="K137" s="130"/>
    </row>
    <row r="138" spans="1:13" ht="15" customHeight="1" x14ac:dyDescent="0.2">
      <c r="A138" s="21">
        <f t="shared" si="29"/>
        <v>1505</v>
      </c>
      <c r="B138" s="99" t="s">
        <v>287</v>
      </c>
      <c r="C138" s="142" t="s">
        <v>678</v>
      </c>
      <c r="D138" s="142" t="str">
        <f>'3...Material'!D136</f>
        <v>PC2000/777</v>
      </c>
      <c r="E138" s="25"/>
      <c r="F138" s="146"/>
      <c r="G138" s="146">
        <v>800000</v>
      </c>
      <c r="H138" s="146"/>
      <c r="I138" s="146"/>
      <c r="J138" s="130"/>
      <c r="K138" s="130"/>
    </row>
    <row r="139" spans="1:13" ht="15" customHeight="1" x14ac:dyDescent="0.2">
      <c r="A139" s="21">
        <f t="shared" si="29"/>
        <v>1506</v>
      </c>
      <c r="B139" s="99" t="s">
        <v>287</v>
      </c>
      <c r="C139" s="142" t="str">
        <f>'3...Material'!C137</f>
        <v>Build Haul Road</v>
      </c>
      <c r="D139" s="142" t="str">
        <f>'3...Material'!D137</f>
        <v>PC1250/740</v>
      </c>
      <c r="E139" s="25"/>
      <c r="F139" s="146"/>
      <c r="G139" s="146">
        <v>300000</v>
      </c>
      <c r="H139" s="146"/>
      <c r="I139" s="146"/>
      <c r="J139" s="130"/>
      <c r="K139" s="130"/>
    </row>
    <row r="140" spans="1:13" ht="15" customHeight="1" x14ac:dyDescent="0.2">
      <c r="A140" s="21">
        <f t="shared" si="29"/>
        <v>1507</v>
      </c>
      <c r="B140" s="99" t="s">
        <v>287</v>
      </c>
      <c r="C140" s="142" t="str">
        <f>'3...Material'!C138</f>
        <v>Build Haul Road</v>
      </c>
      <c r="D140" s="142" t="str">
        <f>'3...Material'!D138</f>
        <v>PC2000/777</v>
      </c>
      <c r="E140" s="25"/>
      <c r="F140" s="146"/>
      <c r="G140" s="146">
        <v>1450000</v>
      </c>
      <c r="H140" s="146"/>
      <c r="I140" s="146"/>
      <c r="J140" s="130"/>
      <c r="K140" s="130"/>
    </row>
    <row r="141" spans="1:13" ht="15" customHeight="1" x14ac:dyDescent="0.2">
      <c r="A141" s="21">
        <f t="shared" si="29"/>
        <v>1508</v>
      </c>
      <c r="B141" s="99" t="s">
        <v>287</v>
      </c>
      <c r="C141" s="142" t="str">
        <f>'3...Material'!C139</f>
        <v>Goat Hill South Access</v>
      </c>
      <c r="D141" s="142" t="str">
        <f>'3...Material'!D139</f>
        <v>PC1250/740</v>
      </c>
      <c r="E141" s="25"/>
      <c r="F141" s="146"/>
      <c r="G141" s="146">
        <v>55669</v>
      </c>
      <c r="H141" s="146"/>
      <c r="I141" s="146"/>
      <c r="J141" s="130"/>
      <c r="K141" s="130"/>
      <c r="M141" s="111"/>
    </row>
    <row r="142" spans="1:13" ht="15" customHeight="1" x14ac:dyDescent="0.2">
      <c r="A142" s="21">
        <f t="shared" si="29"/>
        <v>1509</v>
      </c>
      <c r="B142" s="99" t="s">
        <v>287</v>
      </c>
      <c r="C142" s="142" t="str">
        <f>'3...Material'!C140</f>
        <v>Goat Hill South Access</v>
      </c>
      <c r="D142" s="142" t="str">
        <f>'3...Material'!D140</f>
        <v>PC1250/740</v>
      </c>
      <c r="E142" s="25"/>
      <c r="F142" s="146"/>
      <c r="G142" s="146">
        <v>57503</v>
      </c>
      <c r="H142" s="146"/>
      <c r="I142" s="146"/>
      <c r="J142" s="130"/>
      <c r="K142" s="130"/>
      <c r="M142" s="111"/>
    </row>
    <row r="143" spans="1:13" ht="15" customHeight="1" x14ac:dyDescent="0.2">
      <c r="A143" s="21">
        <f t="shared" si="29"/>
        <v>1510</v>
      </c>
      <c r="B143" s="99" t="s">
        <v>287</v>
      </c>
      <c r="C143" s="142" t="str">
        <f>'3...Material'!C141</f>
        <v>Cover Reject Handling</v>
      </c>
      <c r="D143" s="142" t="str">
        <f>'3...Material'!D141</f>
        <v>PC1250/740</v>
      </c>
      <c r="E143" s="25"/>
      <c r="F143" s="146"/>
      <c r="G143" s="146">
        <v>476351</v>
      </c>
      <c r="H143" s="146"/>
      <c r="I143" s="146"/>
      <c r="J143" s="130"/>
      <c r="K143" s="130"/>
      <c r="M143" s="111"/>
    </row>
    <row r="144" spans="1:13" ht="15" customHeight="1" x14ac:dyDescent="0.2">
      <c r="A144" s="21">
        <f t="shared" si="29"/>
        <v>1511</v>
      </c>
      <c r="B144" s="99"/>
      <c r="C144" s="142"/>
      <c r="F144" s="119" t="s">
        <v>302</v>
      </c>
      <c r="G144" s="149">
        <f>SUM(G134:G143)</f>
        <v>52441715</v>
      </c>
      <c r="H144" s="146"/>
      <c r="I144" s="146"/>
      <c r="J144" s="130"/>
      <c r="K144" s="130"/>
      <c r="M144" s="111"/>
    </row>
    <row r="145" spans="1:13" ht="15" customHeight="1" x14ac:dyDescent="0.2">
      <c r="A145" s="21"/>
      <c r="B145" s="99"/>
      <c r="C145" s="142"/>
      <c r="E145" s="150"/>
      <c r="F145" s="146"/>
      <c r="G145" s="146"/>
      <c r="H145" s="146"/>
      <c r="I145" s="146"/>
      <c r="J145" s="130"/>
      <c r="K145" s="130"/>
      <c r="M145" s="111"/>
    </row>
    <row r="146" spans="1:13" x14ac:dyDescent="0.2">
      <c r="A146" s="21">
        <f>1+A144</f>
        <v>1512</v>
      </c>
      <c r="B146" s="99" t="s">
        <v>288</v>
      </c>
      <c r="C146" s="142" t="str">
        <f>'3...Material'!C144</f>
        <v>Spring Gulch RP</v>
      </c>
      <c r="D146" s="142" t="str">
        <f>'3...Material'!D144</f>
        <v>Pit Repository</v>
      </c>
      <c r="E146" s="130">
        <f>G146*27/3.9/43560</f>
        <v>102.34996821360457</v>
      </c>
      <c r="F146" s="146"/>
      <c r="G146" s="146">
        <v>643986</v>
      </c>
      <c r="H146" s="146"/>
      <c r="I146" s="146"/>
      <c r="J146" s="130"/>
      <c r="K146" s="146"/>
      <c r="L146" s="151"/>
      <c r="M146" s="115"/>
    </row>
    <row r="147" spans="1:13" x14ac:dyDescent="0.2">
      <c r="A147" s="21">
        <f t="shared" ref="A147:A156" si="30">1+A146</f>
        <v>1513</v>
      </c>
      <c r="B147" s="99" t="s">
        <v>288</v>
      </c>
      <c r="C147" s="142" t="str">
        <f>'3...Material'!C145</f>
        <v>Spring Gulch RP</v>
      </c>
      <c r="D147" s="142" t="str">
        <f>'3...Material'!D145</f>
        <v>Blind Gulch/Sulphur RP</v>
      </c>
      <c r="E147" s="130">
        <f t="shared" ref="E147:E156" si="31">G147*27/3.9/43560</f>
        <v>148.44993642720917</v>
      </c>
      <c r="F147" s="146"/>
      <c r="G147" s="146">
        <v>934047</v>
      </c>
      <c r="H147" s="146"/>
      <c r="I147" s="146"/>
      <c r="J147" s="130"/>
      <c r="K147" s="130"/>
    </row>
    <row r="148" spans="1:13" x14ac:dyDescent="0.2">
      <c r="A148" s="21">
        <f t="shared" si="30"/>
        <v>1514</v>
      </c>
      <c r="B148" s="99" t="s">
        <v>288</v>
      </c>
      <c r="C148" s="142" t="str">
        <f>'3...Material'!C146</f>
        <v>Spring Gulch RP</v>
      </c>
      <c r="D148" s="142" t="str">
        <f>'3...Material'!D146</f>
        <v>Front RP</v>
      </c>
      <c r="E148" s="130">
        <f t="shared" si="31"/>
        <v>66.672441195168474</v>
      </c>
      <c r="F148" s="146"/>
      <c r="G148" s="146">
        <v>419503</v>
      </c>
      <c r="H148" s="146"/>
      <c r="I148" s="146"/>
      <c r="J148" s="130"/>
    </row>
    <row r="149" spans="1:13" x14ac:dyDescent="0.2">
      <c r="A149" s="21">
        <f t="shared" si="30"/>
        <v>1515</v>
      </c>
      <c r="B149" s="99" t="s">
        <v>288</v>
      </c>
      <c r="C149" s="142" t="str">
        <f>'3...Material'!C147</f>
        <v>Front RP</v>
      </c>
      <c r="D149" s="142" t="str">
        <f>'3...Material'!D147</f>
        <v>Sugar Shack West RP</v>
      </c>
      <c r="E149" s="130">
        <f t="shared" si="31"/>
        <v>66.672441195168474</v>
      </c>
      <c r="F149" s="146"/>
      <c r="G149" s="146">
        <v>419503</v>
      </c>
      <c r="H149" s="146"/>
      <c r="I149" s="146"/>
      <c r="J149" s="130"/>
    </row>
    <row r="150" spans="1:13" x14ac:dyDescent="0.2">
      <c r="A150" s="21">
        <f t="shared" si="30"/>
        <v>1516</v>
      </c>
      <c r="B150" s="99" t="s">
        <v>288</v>
      </c>
      <c r="C150" s="142" t="str">
        <f>'3...Material'!C148</f>
        <v>Spring Gulch RP</v>
      </c>
      <c r="D150" s="142" t="str">
        <f>'3...Material'!D148</f>
        <v>Front RP</v>
      </c>
      <c r="E150" s="130">
        <f t="shared" si="31"/>
        <v>2.0999682136045772</v>
      </c>
      <c r="F150" s="146"/>
      <c r="G150" s="146">
        <v>13213</v>
      </c>
      <c r="H150" s="146"/>
      <c r="I150" s="146"/>
      <c r="J150" s="130"/>
    </row>
    <row r="151" spans="1:13" x14ac:dyDescent="0.2">
      <c r="A151" s="21">
        <f t="shared" si="30"/>
        <v>1517</v>
      </c>
      <c r="B151" s="99" t="s">
        <v>288</v>
      </c>
      <c r="C151" s="142" t="str">
        <f>'3...Material'!C149</f>
        <v>Front RP</v>
      </c>
      <c r="D151" s="142" t="str">
        <f>'3...Material'!D149</f>
        <v>Goathill South RP</v>
      </c>
      <c r="E151" s="130">
        <f t="shared" si="31"/>
        <v>2.0999682136045772</v>
      </c>
      <c r="F151" s="146"/>
      <c r="G151" s="146">
        <v>13213</v>
      </c>
      <c r="H151" s="146"/>
      <c r="I151" s="146"/>
      <c r="J151" s="130"/>
    </row>
    <row r="152" spans="1:13" x14ac:dyDescent="0.2">
      <c r="A152" s="21">
        <f t="shared" si="30"/>
        <v>1518</v>
      </c>
      <c r="B152" s="99" t="s">
        <v>288</v>
      </c>
      <c r="C152" s="142" t="str">
        <f>'3...Material'!C150</f>
        <v>Front RP</v>
      </c>
      <c r="D152" s="142" t="str">
        <f>'3...Material'!D150</f>
        <v>Front RP</v>
      </c>
      <c r="E152" s="130">
        <f t="shared" si="31"/>
        <v>122.28750794659885</v>
      </c>
      <c r="F152" s="146"/>
      <c r="G152" s="146">
        <v>769433</v>
      </c>
      <c r="H152" s="146"/>
      <c r="I152" s="146"/>
      <c r="J152" s="130"/>
    </row>
    <row r="153" spans="1:13" x14ac:dyDescent="0.2">
      <c r="A153" s="21">
        <f t="shared" si="30"/>
        <v>1519</v>
      </c>
      <c r="B153" s="99" t="s">
        <v>288</v>
      </c>
      <c r="C153" s="142" t="str">
        <f>'3...Material'!C151</f>
        <v>Spring Gulch RP</v>
      </c>
      <c r="D153" s="142" t="str">
        <f>'3...Material'!D151</f>
        <v>Spring Gulch RP</v>
      </c>
      <c r="E153" s="130">
        <f t="shared" si="31"/>
        <v>47.599968213604576</v>
      </c>
      <c r="F153" s="146"/>
      <c r="G153" s="146">
        <v>299499</v>
      </c>
      <c r="H153" s="146"/>
      <c r="I153" s="146"/>
      <c r="J153" s="130"/>
    </row>
    <row r="154" spans="1:13" x14ac:dyDescent="0.2">
      <c r="A154" s="21">
        <f t="shared" si="30"/>
        <v>1520</v>
      </c>
      <c r="B154" s="99" t="s">
        <v>288</v>
      </c>
      <c r="C154" s="142" t="str">
        <f>'3...Material'!C152</f>
        <v>Spring Gulch RP</v>
      </c>
      <c r="D154" s="142" t="str">
        <f>'3...Material'!D152</f>
        <v>Front RP</v>
      </c>
      <c r="E154" s="130">
        <f t="shared" si="31"/>
        <v>345.5101716465353</v>
      </c>
      <c r="F154" s="146"/>
      <c r="G154" s="146">
        <v>2173950</v>
      </c>
      <c r="H154" s="146"/>
      <c r="I154" s="146"/>
      <c r="J154" s="130"/>
    </row>
    <row r="155" spans="1:13" x14ac:dyDescent="0.2">
      <c r="A155" s="21">
        <f t="shared" si="30"/>
        <v>1521</v>
      </c>
      <c r="B155" s="99" t="s">
        <v>288</v>
      </c>
      <c r="C155" s="142" t="str">
        <f>'3...Material'!C153</f>
        <v>Spring Gulch RP</v>
      </c>
      <c r="D155" s="142" t="str">
        <f>'3...Material'!D153</f>
        <v>Blind Gulch/Sulphur RP</v>
      </c>
      <c r="E155" s="130">
        <f t="shared" si="31"/>
        <v>44.391449459631282</v>
      </c>
      <c r="F155" s="146"/>
      <c r="G155" s="146">
        <v>279311</v>
      </c>
      <c r="H155" s="146"/>
      <c r="I155" s="146"/>
      <c r="J155" s="130"/>
    </row>
    <row r="156" spans="1:13" x14ac:dyDescent="0.2">
      <c r="A156" s="21">
        <f t="shared" si="30"/>
        <v>1522</v>
      </c>
      <c r="B156" s="99" t="s">
        <v>776</v>
      </c>
      <c r="C156" s="142" t="str">
        <f>'3...Material'!C154</f>
        <v>FRP</v>
      </c>
      <c r="D156" s="142"/>
      <c r="E156" s="130">
        <f t="shared" si="31"/>
        <v>19.151621106166562</v>
      </c>
      <c r="G156" s="146">
        <v>120502</v>
      </c>
    </row>
    <row r="157" spans="1:13" x14ac:dyDescent="0.2">
      <c r="A157" s="21"/>
      <c r="B157" s="99"/>
      <c r="C157" s="142"/>
      <c r="D157" s="119" t="s">
        <v>302</v>
      </c>
      <c r="E157" s="149">
        <f>SUM(E146:E156)</f>
        <v>967.2854418308965</v>
      </c>
    </row>
    <row r="158" spans="1:13" x14ac:dyDescent="0.2">
      <c r="A158" s="21"/>
      <c r="B158" s="99"/>
      <c r="C158" s="142"/>
    </row>
    <row r="159" spans="1:13" x14ac:dyDescent="0.2">
      <c r="A159" s="21"/>
      <c r="B159" s="99"/>
      <c r="C159" s="142"/>
    </row>
    <row r="160" spans="1:13" x14ac:dyDescent="0.2">
      <c r="A160" s="21"/>
      <c r="B160" s="99"/>
      <c r="C160" s="142"/>
    </row>
    <row r="161" spans="2:3" x14ac:dyDescent="0.2">
      <c r="B161" s="99"/>
      <c r="C161" s="99"/>
    </row>
    <row r="162" spans="2:3" x14ac:dyDescent="0.2">
      <c r="B162" s="99"/>
      <c r="C162" s="99"/>
    </row>
    <row r="163" spans="2:3" x14ac:dyDescent="0.2">
      <c r="B163" s="99"/>
      <c r="C163" s="99"/>
    </row>
  </sheetData>
  <printOptions horizontalCentered="1"/>
  <pageMargins left="0.25" right="0.25" top="0.63" bottom="0.88" header="0.5" footer="0.5"/>
  <pageSetup scale="6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U25"/>
  <sheetViews>
    <sheetView workbookViewId="0"/>
  </sheetViews>
  <sheetFormatPr defaultColWidth="12.5703125" defaultRowHeight="15" x14ac:dyDescent="0.2"/>
  <cols>
    <col min="1" max="1" width="43.85546875" style="105" customWidth="1"/>
    <col min="2" max="2" width="26.28515625" style="105" customWidth="1"/>
    <col min="3" max="3" width="12.5703125" style="105" customWidth="1"/>
    <col min="4" max="4" width="19.42578125" style="105" customWidth="1"/>
    <col min="5" max="5" width="14" style="105" customWidth="1"/>
    <col min="6" max="6" width="13.5703125" style="105" customWidth="1"/>
    <col min="7" max="7" width="13.7109375" style="99" customWidth="1"/>
    <col min="8" max="8" width="10.7109375" style="99" customWidth="1"/>
    <col min="9" max="9" width="8.28515625" style="99" customWidth="1"/>
    <col min="10" max="14" width="12.5703125" style="99"/>
    <col min="15" max="15" width="9.28515625" style="99" customWidth="1"/>
    <col min="16" max="16" width="10.85546875" style="99" customWidth="1"/>
    <col min="17" max="17" width="12.5703125" style="99"/>
    <col min="18" max="18" width="11.140625" style="99" customWidth="1"/>
    <col min="19" max="19" width="12.5703125" style="99"/>
    <col min="20" max="16384" width="12.5703125" style="105"/>
  </cols>
  <sheetData>
    <row r="1" spans="1:21" x14ac:dyDescent="0.2">
      <c r="A1" s="152" t="str">
        <f>General!A1</f>
        <v>FINANCIAL ASSURANCE AMOUNT CALCULATION</v>
      </c>
      <c r="B1" s="152"/>
      <c r="C1" s="152"/>
      <c r="D1" s="152"/>
      <c r="E1" s="152"/>
      <c r="H1" s="96"/>
      <c r="I1" s="96"/>
      <c r="J1" s="96"/>
      <c r="K1" s="96"/>
      <c r="L1" s="96"/>
      <c r="M1" s="96"/>
      <c r="N1" s="96"/>
      <c r="O1" s="96"/>
      <c r="P1" s="96"/>
      <c r="Q1" s="97"/>
      <c r="R1" s="153" t="str">
        <f>General!D1</f>
        <v>Questa Mine Site</v>
      </c>
      <c r="T1" s="335"/>
      <c r="U1" s="99"/>
    </row>
    <row r="2" spans="1:21" x14ac:dyDescent="0.2">
      <c r="A2" s="152" t="str">
        <f>General!A2</f>
        <v>Chevron Mining Inc.</v>
      </c>
      <c r="B2" s="152"/>
      <c r="C2" s="152"/>
      <c r="D2" s="152"/>
      <c r="E2" s="152"/>
      <c r="H2" s="96"/>
      <c r="I2" s="96"/>
      <c r="J2" s="96"/>
      <c r="K2" s="96"/>
      <c r="L2" s="96"/>
      <c r="M2" s="96"/>
      <c r="N2" s="96"/>
      <c r="O2" s="96"/>
      <c r="P2" s="96"/>
      <c r="Q2" s="97"/>
      <c r="R2" s="153" t="s">
        <v>303</v>
      </c>
      <c r="T2" s="99"/>
      <c r="U2" s="99"/>
    </row>
    <row r="3" spans="1:21" x14ac:dyDescent="0.2">
      <c r="A3" s="26" t="s">
        <v>304</v>
      </c>
      <c r="B3" s="152"/>
      <c r="C3" s="152"/>
      <c r="D3" s="152"/>
      <c r="E3" s="152"/>
      <c r="H3" s="96"/>
      <c r="I3" s="96"/>
      <c r="J3" s="96"/>
      <c r="K3" s="96"/>
      <c r="L3" s="96"/>
      <c r="M3" s="96"/>
      <c r="N3" s="96"/>
      <c r="O3" s="96"/>
      <c r="P3" s="96"/>
      <c r="Q3" s="97"/>
      <c r="R3" s="173">
        <f>General!$D$2</f>
        <v>37256</v>
      </c>
    </row>
    <row r="4" spans="1:21" x14ac:dyDescent="0.2">
      <c r="A4" s="27"/>
      <c r="B4" s="97"/>
      <c r="C4" s="97"/>
      <c r="D4" s="97"/>
      <c r="E4" s="97"/>
      <c r="H4" s="96"/>
      <c r="I4" s="96"/>
      <c r="J4" s="96"/>
      <c r="K4" s="96"/>
      <c r="L4" s="96"/>
      <c r="M4" s="96"/>
      <c r="N4" s="96"/>
      <c r="O4" s="96"/>
      <c r="P4" s="96"/>
      <c r="Q4" s="153" t="str">
        <f>General!C3</f>
        <v>Updated by Kiewit/AECOM</v>
      </c>
      <c r="R4" s="173">
        <f>General!D3</f>
        <v>43419</v>
      </c>
    </row>
    <row r="5" spans="1:21" x14ac:dyDescent="0.2">
      <c r="A5" s="27"/>
      <c r="B5" s="97"/>
      <c r="C5" s="97"/>
      <c r="D5" s="97"/>
      <c r="E5" s="97"/>
      <c r="F5" s="97"/>
      <c r="G5" s="153"/>
      <c r="H5" s="96"/>
      <c r="I5" s="96"/>
      <c r="J5" s="96"/>
      <c r="K5" s="96"/>
      <c r="L5" s="96"/>
      <c r="M5" s="96"/>
      <c r="N5" s="96"/>
      <c r="O5" s="96"/>
      <c r="P5" s="96"/>
      <c r="Q5" s="96"/>
      <c r="R5" s="96"/>
    </row>
    <row r="6" spans="1:21" x14ac:dyDescent="0.2">
      <c r="A6" s="97"/>
      <c r="B6" s="154"/>
      <c r="C6" s="154"/>
      <c r="D6" s="97"/>
      <c r="E6" s="155"/>
      <c r="F6" s="96"/>
      <c r="G6" s="96"/>
      <c r="H6" s="438" t="s">
        <v>305</v>
      </c>
      <c r="I6" s="438"/>
      <c r="J6" s="438"/>
      <c r="K6" s="438"/>
      <c r="L6" s="438"/>
      <c r="M6" s="438"/>
      <c r="N6" s="438"/>
      <c r="O6" s="438"/>
      <c r="P6" s="438"/>
      <c r="Q6" s="438"/>
      <c r="R6" s="438"/>
    </row>
    <row r="7" spans="1:21" x14ac:dyDescent="0.2">
      <c r="A7" s="97"/>
      <c r="B7" s="96"/>
      <c r="C7" s="96"/>
      <c r="D7" s="154"/>
      <c r="E7" s="297" t="s">
        <v>306</v>
      </c>
      <c r="F7" s="98"/>
      <c r="G7" s="98" t="s">
        <v>270</v>
      </c>
      <c r="H7" s="98"/>
      <c r="I7" s="98"/>
      <c r="J7" s="96"/>
      <c r="K7" s="98" t="s">
        <v>307</v>
      </c>
      <c r="L7" s="98" t="s">
        <v>308</v>
      </c>
      <c r="M7" s="98"/>
      <c r="N7" s="98"/>
      <c r="O7" s="98"/>
      <c r="P7" s="96"/>
      <c r="Q7" s="96"/>
      <c r="R7" s="98" t="s">
        <v>309</v>
      </c>
    </row>
    <row r="8" spans="1:21" x14ac:dyDescent="0.2">
      <c r="A8" s="96"/>
      <c r="B8" s="96"/>
      <c r="C8" s="96"/>
      <c r="D8" s="96"/>
      <c r="E8" s="298" t="s">
        <v>310</v>
      </c>
      <c r="F8" s="119"/>
      <c r="G8" s="98" t="s">
        <v>311</v>
      </c>
      <c r="H8" s="98"/>
      <c r="I8" s="98"/>
      <c r="J8" s="98" t="s">
        <v>312</v>
      </c>
      <c r="K8" s="98" t="s">
        <v>313</v>
      </c>
      <c r="L8" s="98" t="s">
        <v>314</v>
      </c>
      <c r="M8" s="98" t="s">
        <v>315</v>
      </c>
      <c r="N8" s="98"/>
      <c r="O8" s="98" t="s">
        <v>316</v>
      </c>
      <c r="P8" s="98"/>
      <c r="Q8" s="98"/>
      <c r="R8" s="98" t="s">
        <v>317</v>
      </c>
    </row>
    <row r="9" spans="1:21" x14ac:dyDescent="0.2">
      <c r="A9" s="96" t="s">
        <v>318</v>
      </c>
      <c r="B9" s="96" t="s">
        <v>272</v>
      </c>
      <c r="C9" s="96" t="s">
        <v>273</v>
      </c>
      <c r="D9" s="96" t="s">
        <v>264</v>
      </c>
      <c r="E9" s="98" t="s">
        <v>296</v>
      </c>
      <c r="F9" s="98" t="s">
        <v>319</v>
      </c>
      <c r="G9" s="98" t="s">
        <v>320</v>
      </c>
      <c r="H9" s="98" t="s">
        <v>238</v>
      </c>
      <c r="I9" s="98" t="s">
        <v>267</v>
      </c>
      <c r="J9" s="98" t="s">
        <v>321</v>
      </c>
      <c r="K9" s="98" t="s">
        <v>322</v>
      </c>
      <c r="L9" s="98" t="s">
        <v>274</v>
      </c>
      <c r="M9" s="98" t="s">
        <v>307</v>
      </c>
      <c r="N9" s="98" t="s">
        <v>323</v>
      </c>
      <c r="O9" s="98" t="s">
        <v>324</v>
      </c>
      <c r="P9" s="98" t="s">
        <v>325</v>
      </c>
      <c r="Q9" s="98" t="s">
        <v>326</v>
      </c>
      <c r="R9" s="98" t="s">
        <v>327</v>
      </c>
    </row>
    <row r="10" spans="1:21" x14ac:dyDescent="0.2">
      <c r="A10" s="96"/>
      <c r="B10" s="96"/>
      <c r="C10" s="96"/>
      <c r="D10" s="96"/>
      <c r="E10" s="98" t="s">
        <v>328</v>
      </c>
      <c r="F10" s="98" t="s">
        <v>329</v>
      </c>
      <c r="G10" s="98" t="s">
        <v>330</v>
      </c>
      <c r="H10" s="98"/>
      <c r="I10" s="98"/>
      <c r="J10" s="98" t="s">
        <v>331</v>
      </c>
      <c r="K10" s="98"/>
      <c r="L10" s="98" t="s">
        <v>332</v>
      </c>
      <c r="M10" s="98" t="s">
        <v>329</v>
      </c>
      <c r="N10" s="98"/>
      <c r="O10" s="98" t="s">
        <v>333</v>
      </c>
      <c r="P10" s="98"/>
      <c r="Q10" s="98"/>
      <c r="R10" s="98"/>
    </row>
    <row r="11" spans="1:21" x14ac:dyDescent="0.2">
      <c r="A11" s="81"/>
      <c r="B11" s="96"/>
      <c r="C11" s="96"/>
      <c r="D11" s="96"/>
      <c r="E11" s="96"/>
      <c r="F11" s="96"/>
      <c r="G11" s="96"/>
      <c r="H11" s="96"/>
      <c r="I11" s="96"/>
      <c r="J11" s="96"/>
      <c r="K11" s="96"/>
      <c r="L11" s="96"/>
      <c r="M11" s="96"/>
      <c r="N11" s="96"/>
      <c r="O11" s="96"/>
      <c r="P11" s="96"/>
      <c r="Q11" s="96"/>
      <c r="R11" s="96"/>
    </row>
    <row r="12" spans="1:21" x14ac:dyDescent="0.2">
      <c r="A12" s="97" t="str">
        <f>'4...Earthwrk'!B9</f>
        <v>Pushdown existing outslopes</v>
      </c>
      <c r="B12" s="96" t="str">
        <f>'4...Earthwrk'!C9</f>
        <v>Sugar Shack West RP</v>
      </c>
      <c r="C12" s="96"/>
      <c r="D12" s="97" t="str">
        <f>'3...Material'!G9</f>
        <v>2 D8 / 1 D10</v>
      </c>
      <c r="E12" s="28">
        <f>'4...Earthwrk'!G9</f>
        <v>493650</v>
      </c>
      <c r="F12" s="28">
        <f>M12*N12*H12*O12/60*I12*2300/J12*K12*P12*Q12*R12</f>
        <v>523.71470454545442</v>
      </c>
      <c r="G12" s="28">
        <f t="shared" ref="G12:G21" si="0">E12/F12</f>
        <v>942.59335419739955</v>
      </c>
      <c r="H12" s="156">
        <v>0.7</v>
      </c>
      <c r="I12" s="155">
        <v>1.1399999999999999</v>
      </c>
      <c r="J12" s="29">
        <v>3234</v>
      </c>
      <c r="K12" s="155">
        <v>1.2</v>
      </c>
      <c r="L12" s="150">
        <f>'3...Material'!E9</f>
        <v>300</v>
      </c>
      <c r="M12" s="157">
        <v>1225</v>
      </c>
      <c r="N12" s="154">
        <v>0.75</v>
      </c>
      <c r="O12" s="158">
        <v>54</v>
      </c>
      <c r="P12" s="154">
        <v>1</v>
      </c>
      <c r="Q12" s="154">
        <v>0.93</v>
      </c>
      <c r="R12" s="155">
        <v>1</v>
      </c>
    </row>
    <row r="13" spans="1:21" x14ac:dyDescent="0.2">
      <c r="A13" s="97" t="str">
        <f>'4...Earthwrk'!B10</f>
        <v>Rehandle landbridge</v>
      </c>
      <c r="B13" s="96" t="str">
        <f>'4...Earthwrk'!C10</f>
        <v>Pit Rep - Landbridge</v>
      </c>
      <c r="C13" s="96"/>
      <c r="D13" s="97" t="str">
        <f>'3...Material'!G10</f>
        <v>2 D10</v>
      </c>
      <c r="E13" s="28">
        <f>'4...Earthwrk'!G10</f>
        <v>320000</v>
      </c>
      <c r="F13" s="28">
        <f t="shared" ref="F13:F21" si="1">M13*N13*H13*O13/60*I13*2300/J13*K13*P13*Q13*R13</f>
        <v>523.71470454545442</v>
      </c>
      <c r="G13" s="28">
        <f t="shared" si="0"/>
        <v>611.01969683615494</v>
      </c>
      <c r="H13" s="156">
        <v>0.7</v>
      </c>
      <c r="I13" s="155">
        <v>1.1399999999999999</v>
      </c>
      <c r="J13" s="29">
        <v>3234</v>
      </c>
      <c r="K13" s="155">
        <v>1.2</v>
      </c>
      <c r="L13" s="150">
        <f>'3...Material'!E10</f>
        <v>300</v>
      </c>
      <c r="M13" s="157">
        <v>1225</v>
      </c>
      <c r="N13" s="154">
        <v>0.75</v>
      </c>
      <c r="O13" s="158">
        <v>54</v>
      </c>
      <c r="P13" s="154">
        <v>1</v>
      </c>
      <c r="Q13" s="154">
        <v>0.93</v>
      </c>
      <c r="R13" s="155">
        <v>1</v>
      </c>
    </row>
    <row r="14" spans="1:21" x14ac:dyDescent="0.2">
      <c r="A14" s="97" t="str">
        <f>'4...Earthwrk'!B11</f>
        <v>Pushdown existing outslopes</v>
      </c>
      <c r="B14" s="96" t="str">
        <f>'4...Earthwrk'!C11</f>
        <v>Blind Gulch RP</v>
      </c>
      <c r="C14" s="96"/>
      <c r="D14" s="97" t="str">
        <f>'3...Material'!G11</f>
        <v>2 D8 / 1 D10</v>
      </c>
      <c r="E14" s="28">
        <f>'4...Earthwrk'!G11</f>
        <v>940000</v>
      </c>
      <c r="F14" s="28">
        <f t="shared" si="1"/>
        <v>523.71470454545442</v>
      </c>
      <c r="G14" s="28">
        <f t="shared" si="0"/>
        <v>1794.8703594562051</v>
      </c>
      <c r="H14" s="156">
        <v>0.7</v>
      </c>
      <c r="I14" s="155">
        <v>1.1399999999999999</v>
      </c>
      <c r="J14" s="29">
        <v>3234</v>
      </c>
      <c r="K14" s="155">
        <v>1.2</v>
      </c>
      <c r="L14" s="150">
        <f>'3...Material'!E11</f>
        <v>400</v>
      </c>
      <c r="M14" s="157">
        <v>1225</v>
      </c>
      <c r="N14" s="154">
        <v>0.75</v>
      </c>
      <c r="O14" s="158">
        <v>54</v>
      </c>
      <c r="P14" s="154">
        <v>1</v>
      </c>
      <c r="Q14" s="154">
        <v>0.93</v>
      </c>
      <c r="R14" s="155">
        <v>1</v>
      </c>
    </row>
    <row r="15" spans="1:21" x14ac:dyDescent="0.2">
      <c r="A15" s="97" t="str">
        <f>'4...Earthwrk'!B12</f>
        <v>Pushdown existing outslopes</v>
      </c>
      <c r="B15" s="96" t="str">
        <f>'4...Earthwrk'!C12</f>
        <v>Front RP</v>
      </c>
      <c r="C15" s="96"/>
      <c r="D15" s="97" t="str">
        <f>'3...Material'!G12</f>
        <v>2 D8 / 1 D10</v>
      </c>
      <c r="E15" s="28">
        <f>'4...Earthwrk'!G12</f>
        <v>1944000</v>
      </c>
      <c r="F15" s="28">
        <f t="shared" si="1"/>
        <v>523.71470454545442</v>
      </c>
      <c r="G15" s="28">
        <f t="shared" si="0"/>
        <v>3711.9446582796409</v>
      </c>
      <c r="H15" s="156">
        <v>0.7</v>
      </c>
      <c r="I15" s="155">
        <v>1.1399999999999999</v>
      </c>
      <c r="J15" s="29">
        <v>3234</v>
      </c>
      <c r="K15" s="155">
        <v>1.2</v>
      </c>
      <c r="L15" s="150">
        <f>'3...Material'!E12</f>
        <v>400</v>
      </c>
      <c r="M15" s="157">
        <v>1225</v>
      </c>
      <c r="N15" s="154">
        <v>0.75</v>
      </c>
      <c r="O15" s="158">
        <v>54</v>
      </c>
      <c r="P15" s="154">
        <v>1</v>
      </c>
      <c r="Q15" s="154">
        <v>0.93</v>
      </c>
      <c r="R15" s="155">
        <v>1</v>
      </c>
    </row>
    <row r="16" spans="1:21" x14ac:dyDescent="0.2">
      <c r="A16" s="97" t="str">
        <f>'4...Earthwrk'!B13</f>
        <v>Pushdown existing outslopes</v>
      </c>
      <c r="B16" s="96" t="str">
        <f>'4...Earthwrk'!C13</f>
        <v>Spring Gulch RP</v>
      </c>
      <c r="C16" s="96"/>
      <c r="D16" s="97" t="str">
        <f>'3...Material'!G13</f>
        <v>2 D8 / 1 D10</v>
      </c>
      <c r="E16" s="28">
        <f>'4...Earthwrk'!G13</f>
        <v>1800000</v>
      </c>
      <c r="F16" s="28">
        <f t="shared" si="1"/>
        <v>523.71470454545442</v>
      </c>
      <c r="G16" s="28">
        <f t="shared" si="0"/>
        <v>3436.9857947033715</v>
      </c>
      <c r="H16" s="156">
        <v>0.7</v>
      </c>
      <c r="I16" s="155">
        <v>1.1399999999999999</v>
      </c>
      <c r="J16" s="29">
        <v>3234</v>
      </c>
      <c r="K16" s="155">
        <v>1.2</v>
      </c>
      <c r="L16" s="150">
        <f>'3...Material'!E13</f>
        <v>300</v>
      </c>
      <c r="M16" s="157">
        <v>1225</v>
      </c>
      <c r="N16" s="154">
        <v>0.75</v>
      </c>
      <c r="O16" s="158">
        <v>54</v>
      </c>
      <c r="P16" s="154">
        <v>1</v>
      </c>
      <c r="Q16" s="154">
        <v>0.93</v>
      </c>
      <c r="R16" s="155">
        <v>1</v>
      </c>
    </row>
    <row r="17" spans="1:18" x14ac:dyDescent="0.2">
      <c r="A17" s="97" t="str">
        <f>'4...Earthwrk'!B14</f>
        <v>Pushdown screening material</v>
      </c>
      <c r="B17" s="96" t="str">
        <f>'4...Earthwrk'!C14</f>
        <v>Spring Gulch RP</v>
      </c>
      <c r="C17" s="96"/>
      <c r="D17" s="97" t="str">
        <f>'3...Material'!G14</f>
        <v>1 D9</v>
      </c>
      <c r="E17" s="28">
        <f>'4...Earthwrk'!G14</f>
        <v>5239863</v>
      </c>
      <c r="F17" s="28">
        <f t="shared" si="1"/>
        <v>399.7332642857142</v>
      </c>
      <c r="G17" s="28">
        <f t="shared" si="0"/>
        <v>13108.398695222782</v>
      </c>
      <c r="H17" s="156">
        <v>0.7</v>
      </c>
      <c r="I17" s="155">
        <v>1.1399999999999999</v>
      </c>
      <c r="J17" s="29">
        <v>3234</v>
      </c>
      <c r="K17" s="155">
        <v>1.2</v>
      </c>
      <c r="L17" s="150">
        <f>'3...Material'!E14</f>
        <v>150</v>
      </c>
      <c r="M17" s="157">
        <v>935</v>
      </c>
      <c r="N17" s="154">
        <v>0.75</v>
      </c>
      <c r="O17" s="158">
        <v>54</v>
      </c>
      <c r="P17" s="154">
        <v>1</v>
      </c>
      <c r="Q17" s="154">
        <v>0.93</v>
      </c>
      <c r="R17" s="155">
        <v>1</v>
      </c>
    </row>
    <row r="18" spans="1:18" x14ac:dyDescent="0.2">
      <c r="A18" s="97" t="str">
        <f>'4...Earthwrk'!B15</f>
        <v>Remove 793 Access Ramp</v>
      </c>
      <c r="B18" s="96" t="str">
        <f>'4...Earthwrk'!C15</f>
        <v>Front RP</v>
      </c>
      <c r="C18" s="96"/>
      <c r="D18" s="97" t="str">
        <f>'3...Material'!G15</f>
        <v>2 D10</v>
      </c>
      <c r="E18" s="28">
        <f>'4...Earthwrk'!G15</f>
        <v>800000</v>
      </c>
      <c r="F18" s="28">
        <f t="shared" si="1"/>
        <v>523.71470454545442</v>
      </c>
      <c r="G18" s="28">
        <f t="shared" si="0"/>
        <v>1527.5492420903872</v>
      </c>
      <c r="H18" s="156">
        <v>0.7</v>
      </c>
      <c r="I18" s="155">
        <v>1.1399999999999999</v>
      </c>
      <c r="J18" s="29">
        <v>3234</v>
      </c>
      <c r="K18" s="155">
        <v>1.2</v>
      </c>
      <c r="L18" s="150">
        <f>'3...Material'!E15</f>
        <v>300</v>
      </c>
      <c r="M18" s="157">
        <v>1225</v>
      </c>
      <c r="N18" s="154">
        <v>0.75</v>
      </c>
      <c r="O18" s="158">
        <v>54</v>
      </c>
      <c r="P18" s="154">
        <v>1</v>
      </c>
      <c r="Q18" s="154">
        <v>0.93</v>
      </c>
      <c r="R18" s="155">
        <v>1</v>
      </c>
    </row>
    <row r="19" spans="1:18" x14ac:dyDescent="0.2">
      <c r="A19" s="97" t="str">
        <f>'4...Earthwrk'!B16</f>
        <v>Build 793 Access Road</v>
      </c>
      <c r="B19" s="96" t="str">
        <f>'4...Earthwrk'!C16</f>
        <v>Front RP</v>
      </c>
      <c r="C19" s="96"/>
      <c r="D19" s="97" t="str">
        <f>'3...Material'!G16</f>
        <v>2 D10</v>
      </c>
      <c r="E19" s="28">
        <f>'4...Earthwrk'!G16</f>
        <v>750000</v>
      </c>
      <c r="F19" s="28">
        <f t="shared" si="1"/>
        <v>523.71470454545442</v>
      </c>
      <c r="G19" s="28">
        <f t="shared" si="0"/>
        <v>1432.0774144597381</v>
      </c>
      <c r="H19" s="156">
        <v>0.7</v>
      </c>
      <c r="I19" s="155">
        <v>1.1399999999999999</v>
      </c>
      <c r="J19" s="29">
        <v>3234</v>
      </c>
      <c r="K19" s="155">
        <v>1.2</v>
      </c>
      <c r="L19" s="150">
        <f>'3...Material'!E16</f>
        <v>300</v>
      </c>
      <c r="M19" s="157">
        <v>1225</v>
      </c>
      <c r="N19" s="154">
        <v>0.75</v>
      </c>
      <c r="O19" s="158">
        <v>54</v>
      </c>
      <c r="P19" s="154">
        <v>1</v>
      </c>
      <c r="Q19" s="154">
        <v>0.93</v>
      </c>
      <c r="R19" s="155">
        <v>1</v>
      </c>
    </row>
    <row r="20" spans="1:18" x14ac:dyDescent="0.2">
      <c r="A20" s="97" t="str">
        <f>'4...Earthwrk'!B17</f>
        <v>GHS Access Rehandle to Place</v>
      </c>
      <c r="B20" s="96" t="str">
        <f>'4...Earthwrk'!C17</f>
        <v>GHS</v>
      </c>
      <c r="D20" s="97" t="str">
        <f>'3...Material'!G17</f>
        <v>2 D8 / 1 D10</v>
      </c>
      <c r="E20" s="28">
        <f>'4...Earthwrk'!G17</f>
        <v>50722</v>
      </c>
      <c r="F20" s="28">
        <f t="shared" si="1"/>
        <v>523.71470454545442</v>
      </c>
      <c r="G20" s="28">
        <f t="shared" si="0"/>
        <v>96.850440821635772</v>
      </c>
      <c r="H20" s="156">
        <v>0.7</v>
      </c>
      <c r="I20" s="155">
        <v>1.1399999999999999</v>
      </c>
      <c r="J20" s="29">
        <v>3234</v>
      </c>
      <c r="K20" s="155">
        <v>1.2</v>
      </c>
      <c r="L20" s="150">
        <f>'3...Material'!E17</f>
        <v>300</v>
      </c>
      <c r="M20" s="157">
        <v>1225</v>
      </c>
      <c r="N20" s="154">
        <v>0.75</v>
      </c>
      <c r="O20" s="158">
        <v>54</v>
      </c>
      <c r="P20" s="154">
        <v>1</v>
      </c>
      <c r="Q20" s="154">
        <v>0.93</v>
      </c>
      <c r="R20" s="155">
        <v>1</v>
      </c>
    </row>
    <row r="21" spans="1:18" x14ac:dyDescent="0.2">
      <c r="A21" s="97" t="str">
        <f>'4...Earthwrk'!B18</f>
        <v>GHS Access Rehandle Prime</v>
      </c>
      <c r="B21" s="96" t="str">
        <f>'4...Earthwrk'!C18</f>
        <v>GHS</v>
      </c>
      <c r="D21" s="97" t="str">
        <f>'3...Material'!G18</f>
        <v>1 D6 / 1 CAT 345</v>
      </c>
      <c r="E21" s="28">
        <f>'4...Earthwrk'!G18</f>
        <v>78600</v>
      </c>
      <c r="F21" s="28">
        <f t="shared" si="1"/>
        <v>149.63277272727271</v>
      </c>
      <c r="G21" s="28">
        <f t="shared" si="0"/>
        <v>525.28599562383181</v>
      </c>
      <c r="H21" s="156">
        <v>0.7</v>
      </c>
      <c r="I21" s="155">
        <v>1.1399999999999999</v>
      </c>
      <c r="J21" s="29">
        <v>3234</v>
      </c>
      <c r="K21" s="155">
        <v>1.2</v>
      </c>
      <c r="L21" s="150">
        <f>'3...Material'!E18</f>
        <v>300</v>
      </c>
      <c r="M21" s="157">
        <v>350</v>
      </c>
      <c r="N21" s="154">
        <v>0.75</v>
      </c>
      <c r="O21" s="158">
        <v>54</v>
      </c>
      <c r="P21" s="154">
        <v>1</v>
      </c>
      <c r="Q21" s="154">
        <v>0.93</v>
      </c>
      <c r="R21" s="155">
        <v>1</v>
      </c>
    </row>
    <row r="22" spans="1:18" x14ac:dyDescent="0.2">
      <c r="J22" s="393"/>
    </row>
    <row r="23" spans="1:18" x14ac:dyDescent="0.2">
      <c r="J23" s="393"/>
    </row>
    <row r="24" spans="1:18" x14ac:dyDescent="0.2">
      <c r="J24" s="393"/>
    </row>
    <row r="25" spans="1:18" x14ac:dyDescent="0.2">
      <c r="J25" s="393"/>
    </row>
  </sheetData>
  <mergeCells count="1">
    <mergeCell ref="H6:R6"/>
  </mergeCells>
  <printOptions horizontalCentered="1"/>
  <pageMargins left="0.41" right="0.34" top="0.49" bottom="0.51" header="0.5" footer="0.5"/>
  <pageSetup scale="5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BF39"/>
  <sheetViews>
    <sheetView workbookViewId="0"/>
  </sheetViews>
  <sheetFormatPr defaultColWidth="12.5703125" defaultRowHeight="15" x14ac:dyDescent="0.2"/>
  <cols>
    <col min="1" max="1" width="28.28515625" style="99" customWidth="1"/>
    <col min="2" max="2" width="28" style="99" bestFit="1" customWidth="1"/>
    <col min="3" max="3" width="24.5703125" style="99" bestFit="1" customWidth="1"/>
    <col min="4" max="4" width="20.140625" style="99" bestFit="1" customWidth="1"/>
    <col min="5" max="6" width="20.140625" style="99" hidden="1" customWidth="1"/>
    <col min="7" max="7" width="13.5703125" style="99" bestFit="1" customWidth="1"/>
    <col min="8" max="8" width="12.85546875" style="99" customWidth="1"/>
    <col min="9" max="9" width="12.140625" style="99" customWidth="1"/>
    <col min="10" max="10" width="9.85546875" style="99" customWidth="1"/>
    <col min="11" max="11" width="8.42578125" style="99" customWidth="1"/>
    <col min="12" max="12" width="10.140625" style="99" customWidth="1"/>
    <col min="13" max="13" width="12.140625" style="99" customWidth="1"/>
    <col min="14" max="14" width="10.85546875" style="99" customWidth="1"/>
    <col min="15" max="15" width="11.42578125" style="99" customWidth="1"/>
    <col min="16" max="16" width="11.28515625" style="99" customWidth="1"/>
    <col min="17" max="17" width="9.85546875" style="99" customWidth="1"/>
    <col min="18" max="18" width="10.5703125" style="99" customWidth="1"/>
    <col min="19" max="19" width="10.42578125" style="99" customWidth="1"/>
    <col min="20" max="20" width="11.42578125" style="99" customWidth="1"/>
    <col min="21" max="23" width="12.5703125" style="99"/>
    <col min="24" max="16384" width="12.5703125" style="105"/>
  </cols>
  <sheetData>
    <row r="1" spans="1:58" x14ac:dyDescent="0.2">
      <c r="A1" s="97" t="str">
        <f>'1...Describe'!A1</f>
        <v>FINANCIAL ASSURANCE AMOUNT CALCULATION</v>
      </c>
      <c r="B1" s="97"/>
      <c r="C1" s="97"/>
      <c r="D1" s="97"/>
      <c r="E1" s="97"/>
      <c r="F1" s="97"/>
      <c r="G1" s="97"/>
      <c r="J1" s="96"/>
      <c r="K1" s="96"/>
      <c r="L1" s="96"/>
      <c r="M1" s="96"/>
      <c r="N1" s="96"/>
      <c r="O1" s="96"/>
      <c r="P1" s="96"/>
      <c r="Q1" s="96"/>
      <c r="R1" s="96"/>
      <c r="S1" s="97"/>
      <c r="T1" s="153" t="str">
        <f>General!D1</f>
        <v>Questa Mine Site</v>
      </c>
      <c r="U1" s="96"/>
      <c r="V1" s="96"/>
      <c r="W1" s="335"/>
      <c r="X1" s="99"/>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row>
    <row r="2" spans="1:58" x14ac:dyDescent="0.2">
      <c r="A2" s="97" t="str">
        <f>'1...Describe'!A2</f>
        <v>Chevron Mining Inc.</v>
      </c>
      <c r="B2" s="97"/>
      <c r="C2" s="97"/>
      <c r="D2" s="97"/>
      <c r="E2" s="97"/>
      <c r="F2" s="97"/>
      <c r="G2" s="97"/>
      <c r="J2" s="96"/>
      <c r="K2" s="96"/>
      <c r="L2" s="96"/>
      <c r="M2" s="96"/>
      <c r="N2" s="96"/>
      <c r="O2" s="96"/>
      <c r="P2" s="96"/>
      <c r="Q2" s="96"/>
      <c r="R2" s="96"/>
      <c r="S2" s="97"/>
      <c r="T2" s="153" t="s">
        <v>334</v>
      </c>
      <c r="U2" s="96"/>
      <c r="V2" s="96"/>
      <c r="X2" s="99"/>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row>
    <row r="3" spans="1:58" x14ac:dyDescent="0.2">
      <c r="A3" s="27" t="s">
        <v>335</v>
      </c>
      <c r="B3" s="97"/>
      <c r="C3" s="97"/>
      <c r="D3" s="97"/>
      <c r="E3" s="97"/>
      <c r="F3" s="97"/>
      <c r="G3" s="97"/>
      <c r="J3" s="96"/>
      <c r="K3" s="96"/>
      <c r="L3" s="96"/>
      <c r="M3" s="96"/>
      <c r="N3" s="96"/>
      <c r="O3" s="96"/>
      <c r="P3" s="96"/>
      <c r="Q3" s="96"/>
      <c r="R3" s="96"/>
      <c r="S3" s="97"/>
      <c r="T3" s="173">
        <f>General!$D$2</f>
        <v>37256</v>
      </c>
      <c r="U3" s="96"/>
      <c r="V3" s="96"/>
      <c r="W3" s="96"/>
      <c r="X3" s="96"/>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row>
    <row r="4" spans="1:58" x14ac:dyDescent="0.2">
      <c r="A4" s="27"/>
      <c r="B4" s="97"/>
      <c r="C4" s="97"/>
      <c r="D4" s="97"/>
      <c r="E4" s="97"/>
      <c r="F4" s="97"/>
      <c r="G4" s="97"/>
      <c r="J4" s="394"/>
      <c r="K4" s="96"/>
      <c r="L4" s="96"/>
      <c r="M4" s="96"/>
      <c r="N4" s="96"/>
      <c r="O4" s="96"/>
      <c r="P4" s="96"/>
      <c r="Q4" s="96"/>
      <c r="R4" s="96"/>
      <c r="S4" s="153" t="str">
        <f>General!C3</f>
        <v>Updated by Kiewit/AECOM</v>
      </c>
      <c r="T4" s="173">
        <f>General!D3</f>
        <v>43419</v>
      </c>
      <c r="U4" s="96"/>
      <c r="V4" s="96"/>
      <c r="W4" s="96"/>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row>
    <row r="5" spans="1:58" x14ac:dyDescent="0.2">
      <c r="A5" s="27"/>
      <c r="B5" s="97"/>
      <c r="C5" s="97"/>
      <c r="D5" s="97"/>
      <c r="E5" s="97"/>
      <c r="F5" s="97"/>
      <c r="G5" s="97"/>
      <c r="H5" s="97"/>
      <c r="I5" s="153"/>
      <c r="J5" s="394"/>
      <c r="K5" s="96"/>
      <c r="L5" s="96"/>
      <c r="M5" s="96"/>
      <c r="N5" s="96"/>
      <c r="O5" s="96"/>
      <c r="P5" s="96"/>
      <c r="Q5" s="96"/>
      <c r="R5" s="96"/>
      <c r="S5" s="96"/>
      <c r="T5" s="96"/>
      <c r="U5" s="96"/>
      <c r="V5" s="96"/>
      <c r="W5" s="96"/>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row>
    <row r="6" spans="1:58" x14ac:dyDescent="0.2">
      <c r="A6" s="97"/>
      <c r="B6" s="154"/>
      <c r="C6" s="154"/>
      <c r="D6" s="97"/>
      <c r="E6" s="97"/>
      <c r="F6" s="97"/>
      <c r="G6" s="155"/>
      <c r="H6" s="96"/>
      <c r="I6" s="96"/>
      <c r="J6" s="438" t="s">
        <v>305</v>
      </c>
      <c r="K6" s="438"/>
      <c r="L6" s="438"/>
      <c r="M6" s="438"/>
      <c r="N6" s="438"/>
      <c r="O6" s="438"/>
      <c r="P6" s="438"/>
      <c r="Q6" s="438"/>
      <c r="R6" s="438"/>
      <c r="S6" s="438"/>
      <c r="T6" s="438"/>
      <c r="U6" s="96"/>
      <c r="V6" s="96"/>
      <c r="W6" s="96"/>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row>
    <row r="7" spans="1:58" x14ac:dyDescent="0.2">
      <c r="A7" s="97"/>
      <c r="B7" s="96"/>
      <c r="C7" s="96"/>
      <c r="D7" s="154"/>
      <c r="E7" s="154"/>
      <c r="F7" s="154"/>
      <c r="G7" s="153"/>
      <c r="H7" s="98"/>
      <c r="I7" s="98"/>
      <c r="J7" s="98"/>
      <c r="K7" s="98"/>
      <c r="L7" s="96"/>
      <c r="M7" s="98" t="s">
        <v>307</v>
      </c>
      <c r="N7" s="98" t="s">
        <v>336</v>
      </c>
      <c r="O7" s="98"/>
      <c r="P7" s="98"/>
      <c r="Q7" s="98"/>
      <c r="R7" s="96"/>
      <c r="S7" s="96"/>
      <c r="T7" s="98" t="s">
        <v>309</v>
      </c>
      <c r="U7" s="96"/>
      <c r="V7" s="96"/>
      <c r="W7" s="96"/>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row>
    <row r="8" spans="1:58" x14ac:dyDescent="0.2">
      <c r="A8" s="96"/>
      <c r="B8" s="96"/>
      <c r="C8" s="96"/>
      <c r="D8" s="96"/>
      <c r="E8" s="96"/>
      <c r="F8" s="96"/>
      <c r="G8" s="98"/>
      <c r="H8" s="98"/>
      <c r="I8" s="98" t="s">
        <v>311</v>
      </c>
      <c r="J8" s="98"/>
      <c r="K8" s="98"/>
      <c r="L8" s="98" t="s">
        <v>312</v>
      </c>
      <c r="M8" s="98" t="s">
        <v>313</v>
      </c>
      <c r="N8" s="98" t="s">
        <v>322</v>
      </c>
      <c r="O8" s="98" t="s">
        <v>315</v>
      </c>
      <c r="P8" s="98"/>
      <c r="Q8" s="98" t="s">
        <v>316</v>
      </c>
      <c r="R8" s="98"/>
      <c r="S8" s="98"/>
      <c r="T8" s="98" t="s">
        <v>317</v>
      </c>
      <c r="U8" s="96"/>
      <c r="V8" s="96"/>
      <c r="W8" s="96"/>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row>
    <row r="9" spans="1:58" x14ac:dyDescent="0.2">
      <c r="A9" s="96" t="s">
        <v>318</v>
      </c>
      <c r="B9" s="96" t="s">
        <v>272</v>
      </c>
      <c r="C9" s="96" t="s">
        <v>273</v>
      </c>
      <c r="D9" s="96" t="s">
        <v>264</v>
      </c>
      <c r="E9" s="96"/>
      <c r="F9" s="96"/>
      <c r="G9" s="98" t="s">
        <v>296</v>
      </c>
      <c r="H9" s="98" t="s">
        <v>319</v>
      </c>
      <c r="I9" s="98" t="s">
        <v>320</v>
      </c>
      <c r="J9" s="98" t="s">
        <v>238</v>
      </c>
      <c r="K9" s="98" t="s">
        <v>267</v>
      </c>
      <c r="L9" s="98" t="s">
        <v>321</v>
      </c>
      <c r="M9" s="98" t="s">
        <v>322</v>
      </c>
      <c r="N9" s="98" t="s">
        <v>337</v>
      </c>
      <c r="O9" s="98" t="s">
        <v>307</v>
      </c>
      <c r="P9" s="98" t="s">
        <v>323</v>
      </c>
      <c r="Q9" s="98" t="s">
        <v>324</v>
      </c>
      <c r="R9" s="98" t="s">
        <v>325</v>
      </c>
      <c r="S9" s="98" t="s">
        <v>326</v>
      </c>
      <c r="T9" s="98" t="s">
        <v>327</v>
      </c>
      <c r="U9" s="96"/>
      <c r="V9" s="96"/>
      <c r="W9" s="96"/>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row>
    <row r="10" spans="1:58" x14ac:dyDescent="0.2">
      <c r="A10" s="96"/>
      <c r="B10" s="96"/>
      <c r="C10" s="96"/>
      <c r="D10" s="96"/>
      <c r="E10" s="96"/>
      <c r="F10" s="96"/>
      <c r="G10" s="98" t="s">
        <v>328</v>
      </c>
      <c r="H10" s="98" t="s">
        <v>329</v>
      </c>
      <c r="I10" s="98" t="s">
        <v>330</v>
      </c>
      <c r="J10" s="98"/>
      <c r="K10" s="98"/>
      <c r="L10" s="98" t="s">
        <v>331</v>
      </c>
      <c r="M10" s="98"/>
      <c r="N10" s="98" t="s">
        <v>332</v>
      </c>
      <c r="O10" s="98" t="s">
        <v>329</v>
      </c>
      <c r="P10" s="98"/>
      <c r="Q10" s="98" t="s">
        <v>333</v>
      </c>
      <c r="R10" s="98"/>
      <c r="S10" s="98"/>
      <c r="T10" s="98"/>
      <c r="U10" s="96"/>
      <c r="V10" s="96"/>
      <c r="W10" s="96"/>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row>
    <row r="11" spans="1:58" ht="18.75" customHeight="1" x14ac:dyDescent="0.2">
      <c r="A11" s="81"/>
      <c r="B11" s="96"/>
      <c r="C11" s="96"/>
      <c r="D11" s="96"/>
      <c r="E11" s="96"/>
      <c r="F11" s="96"/>
      <c r="G11" s="96"/>
      <c r="H11" s="96"/>
      <c r="I11" s="96"/>
      <c r="J11" s="96"/>
      <c r="K11" s="96"/>
      <c r="L11" s="96"/>
      <c r="M11" s="96"/>
      <c r="N11" s="96"/>
      <c r="O11" s="96"/>
      <c r="P11" s="96"/>
      <c r="Q11" s="96"/>
      <c r="R11" s="96"/>
      <c r="S11" s="96"/>
      <c r="T11" s="96"/>
      <c r="U11" s="96"/>
      <c r="V11" s="96"/>
      <c r="W11" s="96"/>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row>
    <row r="12" spans="1:58" ht="15" customHeight="1" x14ac:dyDescent="0.2">
      <c r="A12" s="96" t="str">
        <f>'4...Earthwrk'!B134</f>
        <v>Grade rock pile surface</v>
      </c>
      <c r="B12" s="96" t="str">
        <f>'4...Earthwrk'!C134</f>
        <v>Front RP</v>
      </c>
      <c r="C12" s="96" t="str">
        <f>'4...Earthwrk'!D134</f>
        <v>PC5500/793</v>
      </c>
      <c r="D12" s="97" t="str">
        <f>'3...Material'!G132</f>
        <v>1 D10 / 1 D6</v>
      </c>
      <c r="F12" s="97"/>
      <c r="G12" s="28">
        <f>'4...Earthwrk'!G134</f>
        <v>36400000</v>
      </c>
      <c r="H12" s="28">
        <f>O12*P12*J12*Q12/60*K12*2300/L12*M12*R12*S12*T12</f>
        <v>1800.0935064935065</v>
      </c>
      <c r="I12" s="28">
        <f t="shared" ref="I12:I21" si="0">G12/H12</f>
        <v>20221.171771740574</v>
      </c>
      <c r="J12" s="156">
        <v>0.7</v>
      </c>
      <c r="K12" s="154">
        <v>1.2</v>
      </c>
      <c r="L12" s="29">
        <v>3234</v>
      </c>
      <c r="M12" s="155">
        <v>1</v>
      </c>
      <c r="N12" s="395">
        <v>18.329999999999998</v>
      </c>
      <c r="O12" s="164">
        <v>4800</v>
      </c>
      <c r="P12" s="154">
        <v>0.75</v>
      </c>
      <c r="Q12" s="158">
        <v>54</v>
      </c>
      <c r="R12" s="154">
        <v>1</v>
      </c>
      <c r="S12" s="154">
        <v>0.93</v>
      </c>
      <c r="T12" s="155">
        <v>1</v>
      </c>
      <c r="U12" s="96"/>
      <c r="V12" s="96"/>
      <c r="W12" s="96"/>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row>
    <row r="13" spans="1:58" ht="15" customHeight="1" x14ac:dyDescent="0.2">
      <c r="A13" s="96" t="str">
        <f>'4...Earthwrk'!B135</f>
        <v>Grade rock pile surface</v>
      </c>
      <c r="B13" s="96" t="str">
        <f>'4...Earthwrk'!C135</f>
        <v>Blind Gulch/Spring Gulch</v>
      </c>
      <c r="C13" s="96" t="str">
        <f>'4...Earthwrk'!D135</f>
        <v>PC2000/777</v>
      </c>
      <c r="D13" s="97" t="str">
        <f>'3...Material'!G133</f>
        <v>1 D8 / 1 D6</v>
      </c>
      <c r="F13" s="97"/>
      <c r="G13" s="28">
        <f>'4...Earthwrk'!G135</f>
        <v>7919500</v>
      </c>
      <c r="H13" s="28">
        <f t="shared" ref="H13:H21" si="1">O13*P13*J13*Q13/60*K13*2300/L13*M13*R13*S13*T13</f>
        <v>721.91250000000002</v>
      </c>
      <c r="I13" s="28">
        <f t="shared" si="0"/>
        <v>10970.166051979983</v>
      </c>
      <c r="J13" s="156">
        <v>0.7</v>
      </c>
      <c r="K13" s="154">
        <v>1.2</v>
      </c>
      <c r="L13" s="29">
        <v>3234</v>
      </c>
      <c r="M13" s="155">
        <v>1</v>
      </c>
      <c r="N13" s="395">
        <v>18.329999999999998</v>
      </c>
      <c r="O13" s="164">
        <v>1925</v>
      </c>
      <c r="P13" s="154">
        <v>0.75</v>
      </c>
      <c r="Q13" s="158">
        <v>54</v>
      </c>
      <c r="R13" s="154">
        <v>1</v>
      </c>
      <c r="S13" s="154">
        <v>0.93</v>
      </c>
      <c r="T13" s="155">
        <v>1</v>
      </c>
      <c r="U13" s="96"/>
      <c r="V13" s="96"/>
      <c r="W13" s="96"/>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row>
    <row r="14" spans="1:58" ht="15" customHeight="1" x14ac:dyDescent="0.2">
      <c r="A14" s="96" t="str">
        <f>'4...Earthwrk'!B136</f>
        <v>Grade rock pile surface</v>
      </c>
      <c r="B14" s="96" t="str">
        <f>'4...Earthwrk'!C136</f>
        <v>Non Goat Hill South</v>
      </c>
      <c r="C14" s="96" t="str">
        <f>'4...Earthwrk'!D136</f>
        <v>PC1250/740</v>
      </c>
      <c r="D14" s="97" t="str">
        <f>'3...Material'!G134</f>
        <v>1.5 D6 / .5 834</v>
      </c>
      <c r="F14" s="97"/>
      <c r="G14" s="28">
        <f>'4...Earthwrk'!G136</f>
        <v>4687679</v>
      </c>
      <c r="H14" s="28">
        <f t="shared" si="1"/>
        <v>450.02337662337663</v>
      </c>
      <c r="I14" s="28">
        <f t="shared" si="0"/>
        <v>10416.523326349568</v>
      </c>
      <c r="J14" s="156">
        <v>0.7</v>
      </c>
      <c r="K14" s="154">
        <v>1.2</v>
      </c>
      <c r="L14" s="29">
        <v>3234</v>
      </c>
      <c r="M14" s="155">
        <v>1</v>
      </c>
      <c r="N14" s="395">
        <v>18.329999999999998</v>
      </c>
      <c r="O14" s="164">
        <v>1200</v>
      </c>
      <c r="P14" s="154">
        <v>0.75</v>
      </c>
      <c r="Q14" s="158">
        <v>54</v>
      </c>
      <c r="R14" s="154">
        <v>1</v>
      </c>
      <c r="S14" s="154">
        <v>0.93</v>
      </c>
      <c r="T14" s="155">
        <v>1</v>
      </c>
      <c r="U14" s="96"/>
      <c r="V14" s="96"/>
      <c r="W14" s="96"/>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row>
    <row r="15" spans="1:58" ht="15" customHeight="1" x14ac:dyDescent="0.2">
      <c r="A15" s="96" t="str">
        <f>'4...Earthwrk'!B137</f>
        <v>Grade rock pile surface</v>
      </c>
      <c r="B15" s="96" t="str">
        <f>'4...Earthwrk'!C137</f>
        <v>Goat Hill South</v>
      </c>
      <c r="C15" s="96" t="str">
        <f>'4...Earthwrk'!D137</f>
        <v>PC1250/740</v>
      </c>
      <c r="D15" s="97" t="str">
        <f>'3...Material'!G135</f>
        <v>1.5 D6 / .5 834</v>
      </c>
      <c r="F15" s="97"/>
      <c r="G15" s="28">
        <f>'4...Earthwrk'!G137</f>
        <v>295013</v>
      </c>
      <c r="H15" s="28">
        <f t="shared" si="1"/>
        <v>178.13425324675322</v>
      </c>
      <c r="I15" s="28">
        <f t="shared" si="0"/>
        <v>1656.1273007462819</v>
      </c>
      <c r="J15" s="156">
        <v>0.7</v>
      </c>
      <c r="K15" s="154">
        <v>1.2</v>
      </c>
      <c r="L15" s="29">
        <v>3234</v>
      </c>
      <c r="M15" s="155">
        <v>1</v>
      </c>
      <c r="N15" s="395">
        <v>18.329999999999998</v>
      </c>
      <c r="O15" s="164">
        <v>475</v>
      </c>
      <c r="P15" s="154">
        <v>0.75</v>
      </c>
      <c r="Q15" s="158">
        <v>54</v>
      </c>
      <c r="R15" s="154">
        <v>1</v>
      </c>
      <c r="S15" s="154">
        <v>0.93</v>
      </c>
      <c r="T15" s="155">
        <v>1</v>
      </c>
      <c r="U15" s="96"/>
      <c r="V15" s="96"/>
      <c r="W15" s="96"/>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row>
    <row r="16" spans="1:58" ht="15" customHeight="1" x14ac:dyDescent="0.2">
      <c r="A16" s="96" t="str">
        <f>'4...Earthwrk'!B138</f>
        <v>Grade rock pile surface</v>
      </c>
      <c r="B16" s="96" t="str">
        <f>'4...Earthwrk'!C138</f>
        <v>Remove Access Ramp</v>
      </c>
      <c r="C16" s="96" t="str">
        <f>'4...Earthwrk'!D138</f>
        <v>PC2000/777</v>
      </c>
      <c r="D16" s="97" t="str">
        <f>'3...Material'!G136</f>
        <v>1 D8</v>
      </c>
      <c r="F16" s="97"/>
      <c r="G16" s="28">
        <f>'4...Earthwrk'!G138</f>
        <v>800000</v>
      </c>
      <c r="H16" s="28">
        <f t="shared" si="1"/>
        <v>721.91250000000002</v>
      </c>
      <c r="I16" s="28">
        <f t="shared" si="0"/>
        <v>1108.167541080117</v>
      </c>
      <c r="J16" s="156">
        <v>0.7</v>
      </c>
      <c r="K16" s="154">
        <v>1.2</v>
      </c>
      <c r="L16" s="29">
        <v>3234</v>
      </c>
      <c r="M16" s="155">
        <v>1</v>
      </c>
      <c r="N16" s="395">
        <v>18.329999999999998</v>
      </c>
      <c r="O16" s="164">
        <v>1925</v>
      </c>
      <c r="P16" s="154">
        <v>0.75</v>
      </c>
      <c r="Q16" s="158">
        <v>54</v>
      </c>
      <c r="R16" s="154">
        <v>1</v>
      </c>
      <c r="S16" s="154">
        <v>0.93</v>
      </c>
      <c r="T16" s="155">
        <v>1</v>
      </c>
      <c r="U16" s="96"/>
      <c r="V16" s="96"/>
      <c r="W16" s="96"/>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row>
    <row r="17" spans="1:58" ht="15" customHeight="1" x14ac:dyDescent="0.2">
      <c r="A17" s="96" t="str">
        <f>'4...Earthwrk'!B139</f>
        <v>Grade rock pile surface</v>
      </c>
      <c r="B17" s="96" t="str">
        <f>'4...Earthwrk'!C139</f>
        <v>Build Haul Road</v>
      </c>
      <c r="C17" s="96" t="str">
        <f>'4...Earthwrk'!D139</f>
        <v>PC1250/740</v>
      </c>
      <c r="D17" s="97" t="str">
        <f>'3...Material'!G137</f>
        <v>.5 D6 / .5 834</v>
      </c>
      <c r="F17" s="97"/>
      <c r="G17" s="28">
        <f>'4...Earthwrk'!G139</f>
        <v>300000</v>
      </c>
      <c r="H17" s="28">
        <f t="shared" si="1"/>
        <v>450.02337662337663</v>
      </c>
      <c r="I17" s="28">
        <f t="shared" si="0"/>
        <v>666.63203643100792</v>
      </c>
      <c r="J17" s="156">
        <v>0.7</v>
      </c>
      <c r="K17" s="154">
        <v>1.2</v>
      </c>
      <c r="L17" s="29">
        <v>3234</v>
      </c>
      <c r="M17" s="155">
        <v>1</v>
      </c>
      <c r="N17" s="395">
        <v>18.329999999999998</v>
      </c>
      <c r="O17" s="164">
        <v>1200</v>
      </c>
      <c r="P17" s="154">
        <v>0.75</v>
      </c>
      <c r="Q17" s="158">
        <v>54</v>
      </c>
      <c r="R17" s="154">
        <v>1</v>
      </c>
      <c r="S17" s="154">
        <v>0.93</v>
      </c>
      <c r="T17" s="155">
        <v>1</v>
      </c>
      <c r="U17" s="96"/>
      <c r="V17" s="96"/>
      <c r="W17" s="96"/>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row>
    <row r="18" spans="1:58" ht="15" customHeight="1" x14ac:dyDescent="0.2">
      <c r="A18" s="96" t="str">
        <f>'4...Earthwrk'!B140</f>
        <v>Grade rock pile surface</v>
      </c>
      <c r="B18" s="96" t="str">
        <f>'4...Earthwrk'!C140</f>
        <v>Build Haul Road</v>
      </c>
      <c r="C18" s="96" t="str">
        <f>'4...Earthwrk'!D140</f>
        <v>PC2000/777</v>
      </c>
      <c r="D18" s="97" t="str">
        <f>'3...Material'!G138</f>
        <v>1 D8</v>
      </c>
      <c r="F18" s="97"/>
      <c r="G18" s="28">
        <f>'4...Earthwrk'!G140</f>
        <v>1450000</v>
      </c>
      <c r="H18" s="28">
        <f t="shared" si="1"/>
        <v>721.91250000000002</v>
      </c>
      <c r="I18" s="28">
        <f t="shared" si="0"/>
        <v>2008.553668207712</v>
      </c>
      <c r="J18" s="156">
        <v>0.7</v>
      </c>
      <c r="K18" s="154">
        <v>1.2</v>
      </c>
      <c r="L18" s="29">
        <v>3234</v>
      </c>
      <c r="M18" s="155">
        <v>1</v>
      </c>
      <c r="N18" s="395">
        <v>18.329999999999998</v>
      </c>
      <c r="O18" s="164">
        <v>1925</v>
      </c>
      <c r="P18" s="154">
        <v>0.75</v>
      </c>
      <c r="Q18" s="158">
        <v>54</v>
      </c>
      <c r="R18" s="154">
        <v>1</v>
      </c>
      <c r="S18" s="154">
        <v>0.93</v>
      </c>
      <c r="T18" s="155">
        <v>1</v>
      </c>
      <c r="U18" s="96"/>
      <c r="V18" s="96"/>
      <c r="W18" s="96"/>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row>
    <row r="19" spans="1:58" ht="15" customHeight="1" x14ac:dyDescent="0.2">
      <c r="A19" s="96" t="str">
        <f>'4...Earthwrk'!B141</f>
        <v>Grade rock pile surface</v>
      </c>
      <c r="B19" s="96" t="str">
        <f>'4...Earthwrk'!C141</f>
        <v>Goat Hill South Access</v>
      </c>
      <c r="C19" s="96" t="str">
        <f>'4...Earthwrk'!D141</f>
        <v>PC1250/740</v>
      </c>
      <c r="D19" s="97" t="str">
        <f>'3...Material'!G139</f>
        <v>1 D6</v>
      </c>
      <c r="F19" s="97"/>
      <c r="G19" s="28">
        <f>'4...Earthwrk'!G141</f>
        <v>55669</v>
      </c>
      <c r="H19" s="28">
        <f t="shared" si="1"/>
        <v>178.13425324675322</v>
      </c>
      <c r="I19" s="28">
        <f t="shared" si="0"/>
        <v>312.51148493539188</v>
      </c>
      <c r="J19" s="156">
        <v>0.7</v>
      </c>
      <c r="K19" s="154">
        <v>1.2</v>
      </c>
      <c r="L19" s="29">
        <v>3234</v>
      </c>
      <c r="M19" s="155">
        <v>1</v>
      </c>
      <c r="N19" s="395">
        <v>18.329999999999998</v>
      </c>
      <c r="O19" s="164">
        <v>475</v>
      </c>
      <c r="P19" s="154">
        <v>0.75</v>
      </c>
      <c r="Q19" s="158">
        <v>54</v>
      </c>
      <c r="R19" s="154">
        <v>1</v>
      </c>
      <c r="S19" s="154">
        <v>0.93</v>
      </c>
      <c r="T19" s="155">
        <v>1</v>
      </c>
      <c r="U19" s="96"/>
      <c r="V19" s="96"/>
      <c r="W19" s="96"/>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row>
    <row r="20" spans="1:58" ht="15" customHeight="1" x14ac:dyDescent="0.2">
      <c r="A20" s="96" t="str">
        <f>'4...Earthwrk'!B142</f>
        <v>Grade rock pile surface</v>
      </c>
      <c r="B20" s="96" t="str">
        <f>'4...Earthwrk'!C142</f>
        <v>Goat Hill South Access</v>
      </c>
      <c r="C20" s="96" t="str">
        <f>'4...Earthwrk'!D142</f>
        <v>PC1250/740</v>
      </c>
      <c r="D20" s="97" t="str">
        <f>'3...Material'!G140</f>
        <v>1 D6</v>
      </c>
      <c r="F20" s="97"/>
      <c r="G20" s="28">
        <f>'4...Earthwrk'!G142</f>
        <v>57503</v>
      </c>
      <c r="H20" s="28">
        <f t="shared" si="1"/>
        <v>300.01558441558439</v>
      </c>
      <c r="I20" s="28">
        <f t="shared" si="0"/>
        <v>191.66670995446125</v>
      </c>
      <c r="J20" s="156">
        <v>0.7</v>
      </c>
      <c r="K20" s="154">
        <v>1.2</v>
      </c>
      <c r="L20" s="29">
        <v>3234</v>
      </c>
      <c r="M20" s="155">
        <v>1</v>
      </c>
      <c r="N20" s="395">
        <v>18.329999999999998</v>
      </c>
      <c r="O20" s="164">
        <v>800</v>
      </c>
      <c r="P20" s="154">
        <v>0.75</v>
      </c>
      <c r="Q20" s="158">
        <v>54</v>
      </c>
      <c r="R20" s="154">
        <v>1</v>
      </c>
      <c r="S20" s="154">
        <v>0.93</v>
      </c>
      <c r="T20" s="155">
        <v>1</v>
      </c>
      <c r="U20" s="96"/>
      <c r="V20" s="96"/>
      <c r="W20" s="96"/>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row>
    <row r="21" spans="1:58" x14ac:dyDescent="0.2">
      <c r="A21" s="96" t="str">
        <f>'4...Earthwrk'!B143</f>
        <v>Grade rock pile surface</v>
      </c>
      <c r="B21" s="96" t="str">
        <f>'4...Earthwrk'!C143</f>
        <v>Cover Reject Handling</v>
      </c>
      <c r="C21" s="96" t="str">
        <f>'4...Earthwrk'!D143</f>
        <v>PC1250/740</v>
      </c>
      <c r="D21" s="97" t="str">
        <f>'3...Material'!G141</f>
        <v>1 834</v>
      </c>
      <c r="F21" s="97"/>
      <c r="G21" s="28">
        <f>'4...Earthwrk'!G143</f>
        <v>476351</v>
      </c>
      <c r="H21" s="28">
        <f t="shared" si="1"/>
        <v>450.02337662337663</v>
      </c>
      <c r="I21" s="28">
        <f t="shared" si="0"/>
        <v>1058.5027906198234</v>
      </c>
      <c r="J21" s="156">
        <v>0.7</v>
      </c>
      <c r="K21" s="154">
        <v>1.2</v>
      </c>
      <c r="L21" s="29">
        <v>3234</v>
      </c>
      <c r="M21" s="155">
        <v>1</v>
      </c>
      <c r="N21" s="395">
        <v>18.329999999999998</v>
      </c>
      <c r="O21" s="164">
        <v>1200</v>
      </c>
      <c r="P21" s="154">
        <v>0.75</v>
      </c>
      <c r="Q21" s="158">
        <v>54</v>
      </c>
      <c r="R21" s="154">
        <v>1</v>
      </c>
      <c r="S21" s="154">
        <v>0.93</v>
      </c>
      <c r="T21" s="155">
        <v>1</v>
      </c>
      <c r="U21" s="96"/>
      <c r="V21" s="96"/>
      <c r="W21" s="96"/>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row>
    <row r="22" spans="1:58" x14ac:dyDescent="0.2">
      <c r="A22" s="96"/>
      <c r="B22" s="96"/>
      <c r="C22" s="96"/>
      <c r="D22" s="97"/>
      <c r="E22" s="97"/>
      <c r="F22" s="97"/>
      <c r="G22" s="28"/>
      <c r="H22" s="30"/>
      <c r="I22" s="28"/>
      <c r="J22" s="156"/>
      <c r="K22" s="154"/>
      <c r="L22" s="29"/>
      <c r="M22" s="155"/>
      <c r="N22" s="163"/>
      <c r="O22" s="164"/>
      <c r="P22" s="154"/>
      <c r="Q22" s="158"/>
      <c r="R22" s="154"/>
      <c r="S22" s="154"/>
      <c r="T22" s="155"/>
      <c r="U22" s="96"/>
      <c r="V22" s="96"/>
      <c r="W22" s="96"/>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row>
    <row r="23" spans="1:58" x14ac:dyDescent="0.2">
      <c r="A23" s="96"/>
      <c r="B23" s="96"/>
      <c r="C23" s="96"/>
      <c r="D23" s="97"/>
      <c r="E23" s="97"/>
      <c r="F23" s="97"/>
      <c r="G23" s="153"/>
      <c r="H23" s="98"/>
      <c r="I23" s="98"/>
      <c r="J23" s="98"/>
      <c r="K23" s="98"/>
      <c r="L23" s="96"/>
      <c r="M23" s="98" t="s">
        <v>307</v>
      </c>
      <c r="N23" s="98" t="s">
        <v>336</v>
      </c>
      <c r="O23" s="98"/>
      <c r="P23" s="98"/>
      <c r="Q23" s="98"/>
      <c r="R23" s="96"/>
      <c r="S23" s="96"/>
      <c r="T23" s="98" t="s">
        <v>309</v>
      </c>
      <c r="U23" s="96"/>
      <c r="V23" s="96"/>
      <c r="W23" s="96"/>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row>
    <row r="24" spans="1:58" x14ac:dyDescent="0.2">
      <c r="A24" s="96"/>
      <c r="B24" s="96"/>
      <c r="C24" s="96"/>
      <c r="D24" s="97"/>
      <c r="E24" s="439" t="s">
        <v>690</v>
      </c>
      <c r="F24" s="439"/>
      <c r="G24" s="98"/>
      <c r="H24" s="98"/>
      <c r="I24" s="98" t="s">
        <v>311</v>
      </c>
      <c r="J24" s="98"/>
      <c r="K24" s="98"/>
      <c r="L24" s="98" t="s">
        <v>312</v>
      </c>
      <c r="M24" s="98" t="s">
        <v>313</v>
      </c>
      <c r="N24" s="98" t="s">
        <v>322</v>
      </c>
      <c r="O24" s="98"/>
      <c r="P24" s="98"/>
      <c r="Q24" s="98" t="s">
        <v>316</v>
      </c>
      <c r="R24" s="98"/>
      <c r="S24" s="98"/>
      <c r="T24" s="98" t="s">
        <v>317</v>
      </c>
      <c r="U24" s="96"/>
      <c r="V24" s="96"/>
      <c r="W24" s="96"/>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row>
    <row r="25" spans="1:58" x14ac:dyDescent="0.2">
      <c r="A25" s="96"/>
      <c r="B25" s="96"/>
      <c r="C25" s="96"/>
      <c r="D25" s="97"/>
      <c r="E25" s="98" t="s">
        <v>296</v>
      </c>
      <c r="F25" s="98" t="s">
        <v>319</v>
      </c>
      <c r="G25" s="98" t="s">
        <v>239</v>
      </c>
      <c r="H25" s="98" t="s">
        <v>319</v>
      </c>
      <c r="I25" s="98" t="s">
        <v>320</v>
      </c>
      <c r="J25" s="98" t="s">
        <v>238</v>
      </c>
      <c r="K25" s="98" t="s">
        <v>267</v>
      </c>
      <c r="L25" s="98" t="s">
        <v>321</v>
      </c>
      <c r="M25" s="98" t="s">
        <v>322</v>
      </c>
      <c r="N25" s="98" t="s">
        <v>337</v>
      </c>
      <c r="O25" s="98" t="s">
        <v>338</v>
      </c>
      <c r="P25" s="98" t="s">
        <v>323</v>
      </c>
      <c r="Q25" s="98" t="s">
        <v>324</v>
      </c>
      <c r="R25" s="98" t="s">
        <v>325</v>
      </c>
      <c r="S25" s="98" t="s">
        <v>326</v>
      </c>
      <c r="T25" s="98" t="s">
        <v>327</v>
      </c>
      <c r="U25" s="96" t="s">
        <v>831</v>
      </c>
      <c r="V25" s="96"/>
      <c r="W25" s="96"/>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row>
    <row r="26" spans="1:58" x14ac:dyDescent="0.2">
      <c r="A26" s="96"/>
      <c r="B26" s="96"/>
      <c r="C26" s="96"/>
      <c r="D26" s="97"/>
      <c r="E26" s="98" t="s">
        <v>328</v>
      </c>
      <c r="F26" s="98" t="s">
        <v>329</v>
      </c>
      <c r="G26" s="98" t="s">
        <v>339</v>
      </c>
      <c r="H26" s="98" t="s">
        <v>340</v>
      </c>
      <c r="I26" s="98" t="s">
        <v>330</v>
      </c>
      <c r="J26" s="98"/>
      <c r="K26" s="98"/>
      <c r="L26" s="98" t="s">
        <v>331</v>
      </c>
      <c r="M26" s="98"/>
      <c r="N26" s="98" t="s">
        <v>332</v>
      </c>
      <c r="O26" s="98" t="s">
        <v>341</v>
      </c>
      <c r="P26" s="98"/>
      <c r="Q26" s="98" t="s">
        <v>333</v>
      </c>
      <c r="R26" s="98"/>
      <c r="S26" s="98"/>
      <c r="T26" s="98"/>
      <c r="U26" s="96"/>
      <c r="V26" s="96"/>
      <c r="W26" s="96"/>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row>
    <row r="27" spans="1:58" x14ac:dyDescent="0.2">
      <c r="A27" s="96"/>
      <c r="B27" s="96"/>
      <c r="C27" s="96"/>
      <c r="D27" s="97"/>
      <c r="E27" s="97"/>
      <c r="F27" s="97"/>
      <c r="G27" s="28"/>
      <c r="H27" s="30"/>
      <c r="I27" s="28"/>
      <c r="J27" s="156"/>
      <c r="K27" s="154"/>
      <c r="L27" s="29"/>
      <c r="M27" s="155"/>
      <c r="N27" s="163"/>
      <c r="O27" s="164"/>
      <c r="P27" s="154"/>
      <c r="Q27" s="158"/>
      <c r="R27" s="154"/>
      <c r="S27" s="154"/>
      <c r="T27" s="155"/>
      <c r="U27" s="96"/>
      <c r="V27" s="96"/>
      <c r="W27" s="96"/>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row>
    <row r="28" spans="1:58" x14ac:dyDescent="0.2">
      <c r="A28" s="96" t="str">
        <f>'4...Earthwrk'!B146</f>
        <v>Grade cover material</v>
      </c>
      <c r="B28" s="96" t="str">
        <f>'4...Earthwrk'!C146</f>
        <v>Spring Gulch RP</v>
      </c>
      <c r="C28" s="96" t="str">
        <f>'4...Earthwrk'!D146</f>
        <v>Pit Repository</v>
      </c>
      <c r="D28" s="97" t="str">
        <f>'3...Material'!G144</f>
        <v>2 D8 / 1 CAT 385</v>
      </c>
      <c r="E28" s="157">
        <f>'4...Earthwrk'!G146</f>
        <v>643986</v>
      </c>
      <c r="F28" s="99">
        <v>375</v>
      </c>
      <c r="G28" s="28">
        <f>'4...Earthwrk'!E146</f>
        <v>102.34996821360457</v>
      </c>
      <c r="H28" s="307">
        <f>N28*P28*J28*Q28/60*K28*2300/L28*M28*R28*S28*T28*O28*5280/43560/U28</f>
        <v>6.0609208972845351E-2</v>
      </c>
      <c r="I28" s="28">
        <f t="shared" ref="I28:I38" si="2">G28/H28</f>
        <v>1688.6867515373822</v>
      </c>
      <c r="J28" s="156">
        <v>0.7</v>
      </c>
      <c r="K28" s="154">
        <v>1</v>
      </c>
      <c r="L28" s="29">
        <v>3234</v>
      </c>
      <c r="M28" s="155">
        <v>0.8</v>
      </c>
      <c r="N28" s="163">
        <v>12</v>
      </c>
      <c r="O28" s="164">
        <v>1</v>
      </c>
      <c r="P28" s="154">
        <v>0.75</v>
      </c>
      <c r="Q28" s="158">
        <v>54</v>
      </c>
      <c r="R28" s="154">
        <v>1</v>
      </c>
      <c r="S28" s="154">
        <v>0.93</v>
      </c>
      <c r="T28" s="155">
        <v>1</v>
      </c>
      <c r="U28" s="96">
        <v>6</v>
      </c>
      <c r="V28" s="96"/>
      <c r="W28" s="96"/>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row>
    <row r="29" spans="1:58" x14ac:dyDescent="0.2">
      <c r="A29" s="96" t="str">
        <f>'4...Earthwrk'!B147</f>
        <v>Grade cover material</v>
      </c>
      <c r="B29" s="96" t="str">
        <f>'4...Earthwrk'!C147</f>
        <v>Spring Gulch RP</v>
      </c>
      <c r="C29" s="96" t="str">
        <f>'4...Earthwrk'!D147</f>
        <v>Blind Gulch/Sulphur RP</v>
      </c>
      <c r="D29" s="97" t="str">
        <f>'3...Material'!G145</f>
        <v>2 D8 / 1 CAT 385</v>
      </c>
      <c r="E29" s="157">
        <f>'4...Earthwrk'!G147</f>
        <v>934047</v>
      </c>
      <c r="F29" s="97">
        <v>375</v>
      </c>
      <c r="G29" s="28">
        <f>'4...Earthwrk'!E147</f>
        <v>148.44993642720917</v>
      </c>
      <c r="H29" s="307">
        <f t="shared" ref="H29:H38" si="3">N29*P29*J29*Q29/60*K29*2300/L29*M29*R29*S29*T29*O29*5280/43560/U29</f>
        <v>6.0609208972845351E-2</v>
      </c>
      <c r="I29" s="28">
        <f t="shared" si="2"/>
        <v>2449.296714855971</v>
      </c>
      <c r="J29" s="156">
        <v>0.7</v>
      </c>
      <c r="K29" s="154">
        <v>1</v>
      </c>
      <c r="L29" s="29">
        <v>3234</v>
      </c>
      <c r="M29" s="155">
        <v>0.8</v>
      </c>
      <c r="N29" s="163">
        <v>12</v>
      </c>
      <c r="O29" s="164">
        <v>1</v>
      </c>
      <c r="P29" s="154">
        <v>0.75</v>
      </c>
      <c r="Q29" s="158">
        <v>54</v>
      </c>
      <c r="R29" s="154">
        <v>1</v>
      </c>
      <c r="S29" s="154">
        <v>0.93</v>
      </c>
      <c r="T29" s="155">
        <v>1</v>
      </c>
      <c r="U29" s="96">
        <v>6</v>
      </c>
      <c r="V29" s="96"/>
      <c r="W29" s="96"/>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row>
    <row r="30" spans="1:58" x14ac:dyDescent="0.2">
      <c r="A30" s="96" t="str">
        <f>'4...Earthwrk'!B148</f>
        <v>Grade cover material</v>
      </c>
      <c r="B30" s="96" t="str">
        <f>'4...Earthwrk'!C148</f>
        <v>Spring Gulch RP</v>
      </c>
      <c r="C30" s="96" t="str">
        <f>'4...Earthwrk'!D148</f>
        <v>Front RP</v>
      </c>
      <c r="D30" s="97" t="str">
        <f>'3...Material'!G146</f>
        <v>.5 D9 / .5 CAT 854</v>
      </c>
      <c r="E30" s="157">
        <f>'4...Earthwrk'!G148</f>
        <v>419503</v>
      </c>
      <c r="F30" s="97">
        <v>585</v>
      </c>
      <c r="G30" s="28">
        <f>'4...Earthwrk'!E148</f>
        <v>66.672441195168474</v>
      </c>
      <c r="H30" s="307">
        <f t="shared" si="3"/>
        <v>9.0913813459268022E-2</v>
      </c>
      <c r="I30" s="28">
        <f t="shared" si="2"/>
        <v>733.35875658806924</v>
      </c>
      <c r="J30" s="156">
        <v>0.7</v>
      </c>
      <c r="K30" s="154">
        <v>1</v>
      </c>
      <c r="L30" s="29">
        <v>3234</v>
      </c>
      <c r="M30" s="155">
        <v>0.8</v>
      </c>
      <c r="N30" s="163">
        <v>12</v>
      </c>
      <c r="O30" s="164">
        <v>1</v>
      </c>
      <c r="P30" s="154">
        <v>0.75</v>
      </c>
      <c r="Q30" s="158">
        <v>54</v>
      </c>
      <c r="R30" s="154">
        <v>1</v>
      </c>
      <c r="S30" s="154">
        <v>0.93</v>
      </c>
      <c r="T30" s="155">
        <v>1</v>
      </c>
      <c r="U30" s="96">
        <v>4</v>
      </c>
      <c r="V30" s="96"/>
      <c r="W30" s="96"/>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row>
    <row r="31" spans="1:58" x14ac:dyDescent="0.2">
      <c r="A31" s="96" t="str">
        <f>'4...Earthwrk'!B149</f>
        <v>Grade cover material</v>
      </c>
      <c r="B31" s="96" t="str">
        <f>'4...Earthwrk'!C149</f>
        <v>Front RP</v>
      </c>
      <c r="C31" s="96" t="str">
        <f>'4...Earthwrk'!D149</f>
        <v>Sugar Shack West RP</v>
      </c>
      <c r="D31" s="97" t="str">
        <f>'3...Material'!G147</f>
        <v>2 D8 / 1 CAT 385</v>
      </c>
      <c r="E31" s="157">
        <f>'4...Earthwrk'!G149</f>
        <v>419503</v>
      </c>
      <c r="F31" s="97">
        <v>375</v>
      </c>
      <c r="G31" s="28">
        <f>'4...Earthwrk'!E149</f>
        <v>66.672441195168474</v>
      </c>
      <c r="H31" s="307">
        <f t="shared" si="3"/>
        <v>6.0609208972845351E-2</v>
      </c>
      <c r="I31" s="28">
        <f t="shared" si="2"/>
        <v>1100.0381348821038</v>
      </c>
      <c r="J31" s="156">
        <v>0.7</v>
      </c>
      <c r="K31" s="154">
        <v>1</v>
      </c>
      <c r="L31" s="29">
        <v>3234</v>
      </c>
      <c r="M31" s="155">
        <v>0.8</v>
      </c>
      <c r="N31" s="163">
        <v>12</v>
      </c>
      <c r="O31" s="164">
        <v>1</v>
      </c>
      <c r="P31" s="154">
        <v>0.75</v>
      </c>
      <c r="Q31" s="158">
        <v>54</v>
      </c>
      <c r="R31" s="154">
        <v>1</v>
      </c>
      <c r="S31" s="154">
        <v>0.93</v>
      </c>
      <c r="T31" s="155">
        <v>1</v>
      </c>
      <c r="U31" s="96">
        <v>6</v>
      </c>
      <c r="V31" s="96"/>
      <c r="W31" s="96"/>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row>
    <row r="32" spans="1:58" x14ac:dyDescent="0.2">
      <c r="A32" s="96" t="str">
        <f>'4...Earthwrk'!B150</f>
        <v>Grade cover material</v>
      </c>
      <c r="B32" s="96" t="str">
        <f>'4...Earthwrk'!C150</f>
        <v>Spring Gulch RP</v>
      </c>
      <c r="C32" s="96" t="str">
        <f>'4...Earthwrk'!D150</f>
        <v>Front RP</v>
      </c>
      <c r="D32" s="97" t="str">
        <f>'3...Material'!G148</f>
        <v>.5 D9 / .5 CAT 854</v>
      </c>
      <c r="E32" s="157">
        <f>'4...Earthwrk'!G150</f>
        <v>13213</v>
      </c>
      <c r="F32" s="97">
        <v>585</v>
      </c>
      <c r="G32" s="28">
        <f>'4...Earthwrk'!E150</f>
        <v>2.0999682136045772</v>
      </c>
      <c r="H32" s="307">
        <f t="shared" si="3"/>
        <v>9.0913813459268022E-2</v>
      </c>
      <c r="I32" s="28">
        <f t="shared" si="2"/>
        <v>23.09845043014748</v>
      </c>
      <c r="J32" s="156">
        <v>0.7</v>
      </c>
      <c r="K32" s="154">
        <v>1</v>
      </c>
      <c r="L32" s="29">
        <v>3234</v>
      </c>
      <c r="M32" s="155">
        <v>0.8</v>
      </c>
      <c r="N32" s="163">
        <v>12</v>
      </c>
      <c r="O32" s="164">
        <v>1</v>
      </c>
      <c r="P32" s="154">
        <v>0.75</v>
      </c>
      <c r="Q32" s="158">
        <v>54</v>
      </c>
      <c r="R32" s="154">
        <v>1</v>
      </c>
      <c r="S32" s="154">
        <v>0.93</v>
      </c>
      <c r="T32" s="155">
        <v>1</v>
      </c>
      <c r="U32" s="96">
        <v>4</v>
      </c>
      <c r="V32" s="96"/>
      <c r="W32" s="96"/>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row>
    <row r="33" spans="1:58" s="99" customFormat="1" x14ac:dyDescent="0.2">
      <c r="A33" s="96" t="str">
        <f>'4...Earthwrk'!B151</f>
        <v>Grade cover material</v>
      </c>
      <c r="B33" s="96" t="str">
        <f>'4...Earthwrk'!C151</f>
        <v>Front RP</v>
      </c>
      <c r="C33" s="96" t="str">
        <f>'4...Earthwrk'!D151</f>
        <v>Goathill South RP</v>
      </c>
      <c r="D33" s="97" t="str">
        <f>'3...Material'!G149</f>
        <v>2 D8 / 1 CAT 385</v>
      </c>
      <c r="E33" s="157">
        <f>'4...Earthwrk'!G151</f>
        <v>13213</v>
      </c>
      <c r="F33" s="97">
        <v>375</v>
      </c>
      <c r="G33" s="28">
        <f>'4...Earthwrk'!E151</f>
        <v>2.0999682136045772</v>
      </c>
      <c r="H33" s="307">
        <f t="shared" si="3"/>
        <v>6.0609208972845351E-2</v>
      </c>
      <c r="I33" s="28">
        <f t="shared" si="2"/>
        <v>34.64767564522122</v>
      </c>
      <c r="J33" s="156">
        <v>0.7</v>
      </c>
      <c r="K33" s="154">
        <v>1</v>
      </c>
      <c r="L33" s="29">
        <v>3234</v>
      </c>
      <c r="M33" s="155">
        <v>0.8</v>
      </c>
      <c r="N33" s="163">
        <v>12</v>
      </c>
      <c r="O33" s="164">
        <v>1</v>
      </c>
      <c r="P33" s="154">
        <v>0.75</v>
      </c>
      <c r="Q33" s="158">
        <v>54</v>
      </c>
      <c r="R33" s="154">
        <v>1</v>
      </c>
      <c r="S33" s="154">
        <v>0.93</v>
      </c>
      <c r="T33" s="155">
        <v>1</v>
      </c>
      <c r="U33" s="96">
        <v>6</v>
      </c>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row>
    <row r="34" spans="1:58" s="99" customFormat="1" x14ac:dyDescent="0.2">
      <c r="A34" s="96" t="str">
        <f>'4...Earthwrk'!B152</f>
        <v>Grade cover material</v>
      </c>
      <c r="B34" s="96" t="str">
        <f>'4...Earthwrk'!C152</f>
        <v>Front RP</v>
      </c>
      <c r="C34" s="96" t="str">
        <f>'4...Earthwrk'!D152</f>
        <v>Front RP</v>
      </c>
      <c r="D34" s="97" t="str">
        <f>'3...Material'!G150</f>
        <v>2 D8 / 1 CAT 385</v>
      </c>
      <c r="E34" s="157">
        <f>'4...Earthwrk'!G152</f>
        <v>769433</v>
      </c>
      <c r="F34" s="97">
        <v>375</v>
      </c>
      <c r="G34" s="28">
        <f>'4...Earthwrk'!E152</f>
        <v>122.28750794659885</v>
      </c>
      <c r="H34" s="307">
        <f t="shared" si="3"/>
        <v>6.0609208972845351E-2</v>
      </c>
      <c r="I34" s="28">
        <f t="shared" si="2"/>
        <v>2017.6390686997274</v>
      </c>
      <c r="J34" s="156">
        <v>0.7</v>
      </c>
      <c r="K34" s="154">
        <v>1</v>
      </c>
      <c r="L34" s="29">
        <v>3234</v>
      </c>
      <c r="M34" s="155">
        <v>0.8</v>
      </c>
      <c r="N34" s="163">
        <v>12</v>
      </c>
      <c r="O34" s="164">
        <v>1</v>
      </c>
      <c r="P34" s="154">
        <v>0.75</v>
      </c>
      <c r="Q34" s="158">
        <v>54</v>
      </c>
      <c r="R34" s="154">
        <v>1</v>
      </c>
      <c r="S34" s="154">
        <v>0.93</v>
      </c>
      <c r="T34" s="155">
        <v>1</v>
      </c>
      <c r="U34" s="96">
        <v>6</v>
      </c>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row>
    <row r="35" spans="1:58" x14ac:dyDescent="0.2">
      <c r="A35" s="96" t="str">
        <f>'4...Earthwrk'!B153</f>
        <v>Grade cover material</v>
      </c>
      <c r="B35" s="96" t="str">
        <f>'4...Earthwrk'!C153</f>
        <v>Spring Gulch RP</v>
      </c>
      <c r="C35" s="96" t="str">
        <f>'4...Earthwrk'!D153</f>
        <v>Spring Gulch RP</v>
      </c>
      <c r="D35" s="97" t="str">
        <f>'3...Material'!G151</f>
        <v>2 D8 / 1 CAT 385</v>
      </c>
      <c r="E35" s="157">
        <f>'4...Earthwrk'!G153</f>
        <v>299499</v>
      </c>
      <c r="F35" s="97">
        <v>375</v>
      </c>
      <c r="G35" s="28">
        <f>'4...Earthwrk'!E153</f>
        <v>47.599968213604576</v>
      </c>
      <c r="H35" s="307">
        <f t="shared" si="3"/>
        <v>6.0609208972845351E-2</v>
      </c>
      <c r="I35" s="28">
        <f t="shared" si="2"/>
        <v>785.35867767108982</v>
      </c>
      <c r="J35" s="156">
        <v>0.7</v>
      </c>
      <c r="K35" s="154">
        <v>1</v>
      </c>
      <c r="L35" s="29">
        <v>3234</v>
      </c>
      <c r="M35" s="155">
        <v>0.8</v>
      </c>
      <c r="N35" s="163">
        <v>12</v>
      </c>
      <c r="O35" s="164">
        <v>1</v>
      </c>
      <c r="P35" s="154">
        <v>0.75</v>
      </c>
      <c r="Q35" s="158">
        <v>54</v>
      </c>
      <c r="R35" s="154">
        <v>1</v>
      </c>
      <c r="S35" s="154">
        <v>0.93</v>
      </c>
      <c r="T35" s="155">
        <v>1</v>
      </c>
      <c r="U35" s="96">
        <v>6</v>
      </c>
      <c r="V35" s="96"/>
      <c r="W35" s="96"/>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row>
    <row r="36" spans="1:58" x14ac:dyDescent="0.2">
      <c r="A36" s="96" t="str">
        <f>'4...Earthwrk'!B154</f>
        <v>Grade cover material</v>
      </c>
      <c r="B36" s="96" t="str">
        <f>'4...Earthwrk'!C154</f>
        <v>Spring Gulch RP</v>
      </c>
      <c r="C36" s="96" t="str">
        <f>'4...Earthwrk'!D154</f>
        <v>Front RP</v>
      </c>
      <c r="D36" s="97" t="str">
        <f>'3...Material'!G152</f>
        <v>2 D8 / 1 CAT 385</v>
      </c>
      <c r="E36" s="157">
        <f>'4...Earthwrk'!G154</f>
        <v>2173950</v>
      </c>
      <c r="F36" s="97">
        <v>375</v>
      </c>
      <c r="G36" s="28">
        <f>'4...Earthwrk'!E154</f>
        <v>345.5101716465353</v>
      </c>
      <c r="H36" s="307">
        <f t="shared" si="3"/>
        <v>6.0609208972845351E-2</v>
      </c>
      <c r="I36" s="28">
        <f t="shared" si="2"/>
        <v>5700.6216959758322</v>
      </c>
      <c r="J36" s="156">
        <v>0.7</v>
      </c>
      <c r="K36" s="154">
        <v>1</v>
      </c>
      <c r="L36" s="29">
        <v>3234</v>
      </c>
      <c r="M36" s="155">
        <v>0.8</v>
      </c>
      <c r="N36" s="163">
        <v>12</v>
      </c>
      <c r="O36" s="164">
        <v>1</v>
      </c>
      <c r="P36" s="154">
        <v>0.75</v>
      </c>
      <c r="Q36" s="158">
        <v>54</v>
      </c>
      <c r="R36" s="154">
        <v>1</v>
      </c>
      <c r="S36" s="154">
        <v>0.93</v>
      </c>
      <c r="T36" s="155">
        <v>1</v>
      </c>
      <c r="U36" s="96">
        <v>6</v>
      </c>
      <c r="V36" s="96"/>
      <c r="W36" s="96"/>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row>
    <row r="37" spans="1:58" x14ac:dyDescent="0.2">
      <c r="A37" s="96" t="str">
        <f>'4...Earthwrk'!B155</f>
        <v>Grade cover material</v>
      </c>
      <c r="B37" s="96" t="str">
        <f>'4...Earthwrk'!C155</f>
        <v>Spring Gulch RP</v>
      </c>
      <c r="C37" s="96" t="str">
        <f>'4...Earthwrk'!D155</f>
        <v>Blind Gulch/Sulphur RP</v>
      </c>
      <c r="D37" s="97" t="str">
        <f>'3...Material'!G153</f>
        <v>2 D8 / 1 CAT 385</v>
      </c>
      <c r="E37" s="157">
        <f>'4...Earthwrk'!G155</f>
        <v>279311</v>
      </c>
      <c r="F37" s="97">
        <v>375</v>
      </c>
      <c r="G37" s="28">
        <f>'4...Earthwrk'!E155</f>
        <v>44.391449459631282</v>
      </c>
      <c r="H37" s="307">
        <f t="shared" si="3"/>
        <v>6.0609208972845351E-2</v>
      </c>
      <c r="I37" s="28">
        <f t="shared" si="2"/>
        <v>732.42086824660453</v>
      </c>
      <c r="J37" s="156">
        <v>0.7</v>
      </c>
      <c r="K37" s="154">
        <v>1</v>
      </c>
      <c r="L37" s="29">
        <v>3234</v>
      </c>
      <c r="M37" s="155">
        <v>0.8</v>
      </c>
      <c r="N37" s="163">
        <v>12</v>
      </c>
      <c r="O37" s="164">
        <v>1</v>
      </c>
      <c r="P37" s="154">
        <v>0.75</v>
      </c>
      <c r="Q37" s="158">
        <v>54</v>
      </c>
      <c r="R37" s="154">
        <v>1</v>
      </c>
      <c r="S37" s="154">
        <v>0.93</v>
      </c>
      <c r="T37" s="155">
        <v>1</v>
      </c>
      <c r="U37" s="96">
        <v>6</v>
      </c>
      <c r="V37" s="96"/>
      <c r="W37" s="96"/>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row>
    <row r="38" spans="1:58" x14ac:dyDescent="0.2">
      <c r="A38" s="96" t="str">
        <f>'4...Earthwrk'!B156</f>
        <v>Regrade/Reshape Cover</v>
      </c>
      <c r="B38" s="96" t="str">
        <f>'4...Earthwrk'!C156</f>
        <v>FRP</v>
      </c>
      <c r="C38" s="96"/>
      <c r="D38" s="97" t="str">
        <f>'3...Material'!G154</f>
        <v>2 D6</v>
      </c>
      <c r="E38" s="157">
        <f>'4...Earthwrk'!G156</f>
        <v>120502</v>
      </c>
      <c r="F38" s="97">
        <v>200</v>
      </c>
      <c r="G38" s="28">
        <f>'4...Earthwrk'!E156</f>
        <v>19.151621106166562</v>
      </c>
      <c r="H38" s="307">
        <f t="shared" si="3"/>
        <v>3.0304604486422675E-2</v>
      </c>
      <c r="I38" s="28">
        <f t="shared" si="2"/>
        <v>631.97066685846482</v>
      </c>
      <c r="J38" s="156">
        <v>0.7</v>
      </c>
      <c r="K38" s="154">
        <v>1</v>
      </c>
      <c r="L38" s="29">
        <v>3234</v>
      </c>
      <c r="M38" s="155">
        <v>0.8</v>
      </c>
      <c r="N38" s="163">
        <v>10</v>
      </c>
      <c r="O38" s="164">
        <v>1</v>
      </c>
      <c r="P38" s="154">
        <v>0.75</v>
      </c>
      <c r="Q38" s="158">
        <v>54</v>
      </c>
      <c r="R38" s="154">
        <v>1</v>
      </c>
      <c r="S38" s="154">
        <v>0.93</v>
      </c>
      <c r="T38" s="155">
        <v>1</v>
      </c>
      <c r="U38" s="96">
        <v>10</v>
      </c>
    </row>
    <row r="39" spans="1:58" x14ac:dyDescent="0.2">
      <c r="A39" s="96"/>
    </row>
  </sheetData>
  <mergeCells count="2">
    <mergeCell ref="J6:T6"/>
    <mergeCell ref="E24:F24"/>
  </mergeCells>
  <printOptions horizontalCentered="1"/>
  <pageMargins left="0.5" right="0.5" top="0.77" bottom="1.2" header="0.39" footer="0.7"/>
  <pageSetup scale="43" orientation="landscape" r:id="rId1"/>
  <colBreaks count="1" manualBreakCount="1">
    <brk id="2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AN25"/>
  <sheetViews>
    <sheetView workbookViewId="0"/>
  </sheetViews>
  <sheetFormatPr defaultColWidth="12.5703125" defaultRowHeight="15" x14ac:dyDescent="0.2"/>
  <cols>
    <col min="1" max="1" width="24" style="105" customWidth="1"/>
    <col min="2" max="2" width="27.28515625" style="105" customWidth="1"/>
    <col min="3" max="3" width="21.85546875" style="105" customWidth="1"/>
    <col min="4" max="4" width="12.7109375" style="105" customWidth="1"/>
    <col min="5" max="5" width="8.7109375" style="105" customWidth="1"/>
    <col min="6" max="6" width="13.28515625" style="105" customWidth="1"/>
    <col min="7" max="7" width="13.140625" style="105" customWidth="1"/>
    <col min="8" max="8" width="8.85546875" style="105" bestFit="1" customWidth="1"/>
    <col min="9" max="9" width="9.7109375" style="105" customWidth="1"/>
    <col min="10" max="10" width="13.7109375" style="105" customWidth="1"/>
    <col min="11" max="11" width="10.42578125" style="105" customWidth="1"/>
    <col min="12" max="12" width="10.85546875" style="105" customWidth="1"/>
    <col min="13" max="16384" width="12.5703125" style="105"/>
  </cols>
  <sheetData>
    <row r="1" spans="1:40" x14ac:dyDescent="0.2">
      <c r="A1" s="152" t="str">
        <f>'1...Describe'!A1</f>
        <v>FINANCIAL ASSURANCE AMOUNT CALCULATION</v>
      </c>
      <c r="B1" s="152"/>
      <c r="C1" s="152"/>
      <c r="D1" s="152"/>
      <c r="E1" s="152"/>
      <c r="F1" s="152"/>
      <c r="I1" s="103"/>
      <c r="J1" s="103"/>
      <c r="K1" s="103"/>
      <c r="L1" s="103"/>
      <c r="M1" s="103"/>
      <c r="O1" s="104" t="str">
        <f>General!D1</f>
        <v>Questa Mine Site</v>
      </c>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row>
    <row r="2" spans="1:40" x14ac:dyDescent="0.2">
      <c r="A2" s="152" t="str">
        <f>'1...Describe'!A2</f>
        <v>Chevron Mining Inc.</v>
      </c>
      <c r="B2" s="152"/>
      <c r="C2" s="152"/>
      <c r="D2" s="152"/>
      <c r="E2" s="152"/>
      <c r="F2" s="152"/>
      <c r="I2" s="103"/>
      <c r="J2" s="103"/>
      <c r="K2" s="103"/>
      <c r="L2" s="103"/>
      <c r="M2" s="103"/>
      <c r="O2" s="104" t="s">
        <v>342</v>
      </c>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row>
    <row r="3" spans="1:40" x14ac:dyDescent="0.2">
      <c r="A3" s="26" t="s">
        <v>343</v>
      </c>
      <c r="B3" s="152"/>
      <c r="C3" s="152"/>
      <c r="D3" s="152"/>
      <c r="E3" s="152"/>
      <c r="F3" s="152"/>
      <c r="I3" s="103"/>
      <c r="J3" s="103"/>
      <c r="K3" s="103"/>
      <c r="L3" s="103"/>
      <c r="M3" s="103"/>
      <c r="O3" s="107">
        <f>General!$D$2</f>
        <v>37256</v>
      </c>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row>
    <row r="4" spans="1:40" x14ac:dyDescent="0.2">
      <c r="A4" s="26" t="s">
        <v>344</v>
      </c>
      <c r="B4" s="152"/>
      <c r="C4" s="152"/>
      <c r="D4" s="152"/>
      <c r="E4" s="152"/>
      <c r="F4" s="152"/>
      <c r="I4" s="103"/>
      <c r="J4" s="103"/>
      <c r="K4" s="103"/>
      <c r="L4" s="103"/>
      <c r="M4" s="103"/>
      <c r="N4" s="104" t="str">
        <f>General!C3</f>
        <v>Updated by Kiewit/AECOM</v>
      </c>
      <c r="O4" s="107">
        <f>General!D3</f>
        <v>43419</v>
      </c>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row>
    <row r="5" spans="1:40" x14ac:dyDescent="0.2">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row>
    <row r="6" spans="1:40" x14ac:dyDescent="0.2">
      <c r="A6" s="97"/>
      <c r="B6" s="154"/>
      <c r="C6" s="154"/>
      <c r="D6" s="97"/>
      <c r="E6" s="155"/>
      <c r="F6" s="155"/>
      <c r="G6" s="103"/>
      <c r="H6" s="103"/>
      <c r="I6" s="103" t="s">
        <v>305</v>
      </c>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row>
    <row r="7" spans="1:40" x14ac:dyDescent="0.2">
      <c r="A7" s="97"/>
      <c r="B7" s="96"/>
      <c r="C7" s="96"/>
      <c r="D7" s="154"/>
      <c r="E7" s="153"/>
      <c r="F7" s="153"/>
      <c r="G7" s="122"/>
      <c r="H7" s="122"/>
      <c r="I7" s="122"/>
      <c r="J7" s="122"/>
      <c r="K7" s="103"/>
      <c r="L7" s="122"/>
      <c r="M7" s="122"/>
      <c r="N7" s="122"/>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row>
    <row r="8" spans="1:40" x14ac:dyDescent="0.2">
      <c r="A8" s="103"/>
      <c r="B8" s="103"/>
      <c r="C8" s="103"/>
      <c r="D8" s="103"/>
      <c r="E8" s="122"/>
      <c r="F8" s="122"/>
      <c r="G8" s="122"/>
      <c r="H8" s="122" t="s">
        <v>311</v>
      </c>
      <c r="I8" s="122" t="s">
        <v>345</v>
      </c>
      <c r="J8" s="122" t="s">
        <v>346</v>
      </c>
      <c r="K8" s="122" t="s">
        <v>347</v>
      </c>
      <c r="L8" s="122" t="s">
        <v>348</v>
      </c>
      <c r="M8" s="122" t="s">
        <v>349</v>
      </c>
      <c r="N8" s="122" t="s">
        <v>316</v>
      </c>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row>
    <row r="9" spans="1:40" x14ac:dyDescent="0.2">
      <c r="A9" s="103" t="s">
        <v>318</v>
      </c>
      <c r="B9" s="103" t="s">
        <v>272</v>
      </c>
      <c r="C9" s="103" t="s">
        <v>273</v>
      </c>
      <c r="D9" s="122" t="s">
        <v>264</v>
      </c>
      <c r="E9" s="122" t="s">
        <v>239</v>
      </c>
      <c r="F9" s="122" t="s">
        <v>296</v>
      </c>
      <c r="G9" s="122" t="s">
        <v>319</v>
      </c>
      <c r="H9" s="122" t="s">
        <v>320</v>
      </c>
      <c r="I9" s="122" t="s">
        <v>350</v>
      </c>
      <c r="J9" s="122" t="s">
        <v>351</v>
      </c>
      <c r="K9" s="122" t="s">
        <v>352</v>
      </c>
      <c r="L9" s="122" t="s">
        <v>353</v>
      </c>
      <c r="M9" s="122" t="s">
        <v>320</v>
      </c>
      <c r="N9" s="122" t="s">
        <v>324</v>
      </c>
      <c r="O9" s="122" t="s">
        <v>326</v>
      </c>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row>
    <row r="10" spans="1:40" x14ac:dyDescent="0.2">
      <c r="A10" s="103"/>
      <c r="B10" s="103"/>
      <c r="C10" s="103"/>
      <c r="D10" s="103"/>
      <c r="E10" s="122" t="s">
        <v>339</v>
      </c>
      <c r="F10" s="122" t="s">
        <v>328</v>
      </c>
      <c r="G10" s="122" t="s">
        <v>340</v>
      </c>
      <c r="H10" s="122" t="s">
        <v>330</v>
      </c>
      <c r="I10" s="122" t="s">
        <v>332</v>
      </c>
      <c r="J10" s="122" t="s">
        <v>299</v>
      </c>
      <c r="K10" s="122" t="s">
        <v>299</v>
      </c>
      <c r="L10" s="122"/>
      <c r="M10" s="122" t="s">
        <v>354</v>
      </c>
      <c r="N10" s="122" t="s">
        <v>333</v>
      </c>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row>
    <row r="11" spans="1:40" ht="18.75" customHeight="1" x14ac:dyDescent="0.2">
      <c r="A11" s="72"/>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row>
    <row r="12" spans="1:40" x14ac:dyDescent="0.2">
      <c r="A12" s="308" t="str">
        <f>'4...Earthwrk'!B121</f>
        <v>Rip existing surface</v>
      </c>
      <c r="B12" s="308">
        <f>'4...Earthwrk'!C121</f>
        <v>0</v>
      </c>
      <c r="C12" s="309"/>
      <c r="D12" s="297">
        <f>'3...Material'!G119</f>
        <v>0</v>
      </c>
      <c r="E12" s="310">
        <f>'4...Earthwrk'!E121</f>
        <v>0</v>
      </c>
      <c r="F12" s="310">
        <f>E12*43560*J12/12/27</f>
        <v>0</v>
      </c>
      <c r="G12" s="311">
        <f>(J12*K12*I12/27*N12/(I12/88+M12))*27/J12/43560*O12</f>
        <v>0</v>
      </c>
      <c r="H12" s="310">
        <f>IFERROR(E12*J12/12*43560/27/(J12/12*K12*L12/12*I12/27*N12/(I12/88+M12))/O12,0)</f>
        <v>0</v>
      </c>
      <c r="I12" s="312">
        <f>'3...Material'!E119</f>
        <v>0</v>
      </c>
      <c r="J12" s="313">
        <v>42</v>
      </c>
      <c r="K12" s="314">
        <v>69</v>
      </c>
      <c r="L12" s="315">
        <v>3</v>
      </c>
      <c r="M12" s="316">
        <v>0.25</v>
      </c>
      <c r="N12" s="317">
        <v>50</v>
      </c>
      <c r="O12" s="318">
        <v>0.93</v>
      </c>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row>
    <row r="13" spans="1:40" x14ac:dyDescent="0.2">
      <c r="A13" s="103"/>
      <c r="B13" s="103"/>
      <c r="C13" s="168"/>
      <c r="D13" s="104"/>
      <c r="E13" s="28"/>
      <c r="F13" s="28"/>
      <c r="G13" s="31"/>
      <c r="H13" s="28"/>
      <c r="I13" s="157"/>
      <c r="J13" s="166"/>
      <c r="K13" s="32"/>
      <c r="L13" s="150"/>
      <c r="M13" s="167"/>
      <c r="N13" s="158"/>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row>
    <row r="14" spans="1:40" x14ac:dyDescent="0.2">
      <c r="A14" s="103"/>
      <c r="B14" s="103"/>
      <c r="C14" s="168"/>
      <c r="D14" s="104"/>
      <c r="E14" s="28"/>
      <c r="F14" s="28"/>
      <c r="G14" s="31"/>
      <c r="H14" s="28"/>
      <c r="I14" s="157"/>
      <c r="J14" s="166"/>
      <c r="K14" s="32"/>
      <c r="L14" s="150"/>
      <c r="M14" s="167"/>
      <c r="N14" s="158"/>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row>
    <row r="15" spans="1:40" x14ac:dyDescent="0.2">
      <c r="A15" s="103"/>
      <c r="B15" s="103"/>
      <c r="C15" s="168"/>
      <c r="D15" s="104"/>
      <c r="E15" s="28"/>
      <c r="F15" s="28"/>
      <c r="G15" s="31"/>
      <c r="H15" s="28"/>
      <c r="I15" s="157"/>
      <c r="J15" s="166"/>
      <c r="K15" s="32"/>
      <c r="L15" s="150"/>
      <c r="M15" s="167"/>
      <c r="N15" s="158"/>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row>
    <row r="16" spans="1:40" x14ac:dyDescent="0.2">
      <c r="A16" s="103"/>
      <c r="B16" s="103"/>
      <c r="C16" s="168"/>
      <c r="D16" s="104"/>
      <c r="E16" s="28"/>
      <c r="F16" s="28"/>
      <c r="G16" s="31"/>
      <c r="H16" s="28"/>
      <c r="I16" s="157"/>
      <c r="J16" s="166"/>
      <c r="K16" s="32"/>
      <c r="L16" s="150"/>
      <c r="M16" s="167"/>
      <c r="N16" s="158"/>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row>
    <row r="17" spans="1:40" x14ac:dyDescent="0.2">
      <c r="A17" s="103"/>
      <c r="B17" s="103"/>
      <c r="C17" s="168"/>
      <c r="D17" s="104"/>
      <c r="E17" s="28"/>
      <c r="F17" s="28"/>
      <c r="G17" s="31"/>
      <c r="H17" s="28"/>
      <c r="I17" s="157"/>
      <c r="J17" s="166"/>
      <c r="K17" s="32"/>
      <c r="L17" s="150"/>
      <c r="M17" s="167"/>
      <c r="N17" s="158"/>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row>
    <row r="18" spans="1:40" x14ac:dyDescent="0.2">
      <c r="A18" s="103"/>
      <c r="B18" s="103"/>
      <c r="C18" s="168"/>
      <c r="D18" s="104"/>
      <c r="E18" s="28"/>
      <c r="F18" s="28"/>
      <c r="G18" s="31"/>
      <c r="H18" s="28"/>
      <c r="I18" s="157"/>
      <c r="J18" s="166"/>
      <c r="K18" s="32"/>
      <c r="L18" s="150"/>
      <c r="M18" s="167"/>
      <c r="N18" s="158"/>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row>
    <row r="19" spans="1:40" x14ac:dyDescent="0.2">
      <c r="A19" s="103"/>
      <c r="B19" s="103"/>
      <c r="C19" s="168"/>
      <c r="D19" s="104"/>
      <c r="E19" s="28"/>
      <c r="F19" s="28"/>
      <c r="G19" s="31"/>
      <c r="H19" s="28"/>
      <c r="I19" s="157"/>
      <c r="J19" s="166"/>
      <c r="K19" s="32"/>
      <c r="L19" s="150"/>
      <c r="M19" s="167"/>
      <c r="N19" s="158"/>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row>
    <row r="20" spans="1:40" x14ac:dyDescent="0.2">
      <c r="A20" s="103"/>
      <c r="B20" s="103"/>
      <c r="C20" s="168"/>
      <c r="D20" s="104"/>
      <c r="E20" s="28"/>
      <c r="F20" s="28"/>
      <c r="G20" s="31"/>
      <c r="H20" s="28"/>
      <c r="I20" s="157"/>
      <c r="J20" s="166"/>
      <c r="K20" s="32"/>
      <c r="L20" s="150"/>
      <c r="M20" s="167"/>
      <c r="N20" s="158"/>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row>
    <row r="21" spans="1:40" x14ac:dyDescent="0.2">
      <c r="A21" s="103"/>
      <c r="B21" s="103"/>
      <c r="C21" s="168"/>
      <c r="D21" s="104"/>
      <c r="E21" s="28"/>
      <c r="F21" s="28"/>
      <c r="G21" s="31"/>
      <c r="H21" s="28"/>
      <c r="I21" s="157"/>
      <c r="J21" s="166"/>
      <c r="K21" s="32"/>
      <c r="L21" s="150"/>
      <c r="M21" s="167"/>
      <c r="N21" s="158"/>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row>
    <row r="22" spans="1:40" x14ac:dyDescent="0.2">
      <c r="A22" s="103"/>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row>
    <row r="23" spans="1:40" x14ac:dyDescent="0.2">
      <c r="A23" s="103"/>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row>
    <row r="24" spans="1:40" x14ac:dyDescent="0.2">
      <c r="A24" s="103"/>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row>
    <row r="25" spans="1:40" x14ac:dyDescent="0.2">
      <c r="A25" s="103"/>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row>
  </sheetData>
  <printOptions horizontalCentered="1"/>
  <pageMargins left="0.56999999999999995" right="0.59" top="0.82" bottom="0.5" header="0.32" footer="0.5"/>
  <pageSetup scale="5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U60"/>
  <sheetViews>
    <sheetView workbookViewId="0"/>
  </sheetViews>
  <sheetFormatPr defaultColWidth="12.5703125" defaultRowHeight="15" x14ac:dyDescent="0.2"/>
  <cols>
    <col min="1" max="1" width="33.7109375" style="105" customWidth="1"/>
    <col min="2" max="2" width="28.140625" style="105" bestFit="1" customWidth="1"/>
    <col min="3" max="3" width="13.140625" style="105" customWidth="1"/>
    <col min="4" max="4" width="11.140625" style="105" customWidth="1"/>
    <col min="5" max="5" width="9.5703125" style="105" customWidth="1"/>
    <col min="6" max="6" width="12.7109375" style="99" customWidth="1"/>
    <col min="7" max="7" width="9" style="105" customWidth="1"/>
    <col min="8" max="8" width="10.5703125" style="105" customWidth="1"/>
    <col min="9" max="9" width="8.7109375" style="105" customWidth="1"/>
    <col min="10" max="10" width="10.5703125" style="105" customWidth="1"/>
    <col min="11" max="11" width="8.140625" style="105" customWidth="1"/>
    <col min="12" max="12" width="13.7109375" style="105" customWidth="1"/>
    <col min="13" max="13" width="9.28515625" style="105" customWidth="1"/>
    <col min="14" max="14" width="11" style="105" customWidth="1"/>
    <col min="15" max="16" width="9.5703125" style="105" customWidth="1"/>
    <col min="17" max="17" width="9.7109375" style="105" customWidth="1"/>
    <col min="18" max="16384" width="12.5703125" style="105"/>
  </cols>
  <sheetData>
    <row r="1" spans="1:21" x14ac:dyDescent="0.2">
      <c r="A1" s="152" t="s">
        <v>355</v>
      </c>
      <c r="B1" s="152"/>
      <c r="C1" s="152"/>
      <c r="D1" s="152"/>
      <c r="E1" s="152"/>
      <c r="H1" s="103"/>
      <c r="I1" s="103"/>
      <c r="J1" s="103"/>
      <c r="K1" s="103"/>
      <c r="L1" s="103"/>
      <c r="M1" s="103"/>
      <c r="N1" s="103"/>
      <c r="O1" s="103"/>
      <c r="P1" s="103"/>
      <c r="Q1" s="103"/>
      <c r="R1" s="104" t="str">
        <f>General!D1</f>
        <v>Questa Mine Site</v>
      </c>
      <c r="T1" s="335"/>
      <c r="U1" s="99"/>
    </row>
    <row r="2" spans="1:21" x14ac:dyDescent="0.2">
      <c r="A2" s="152" t="s">
        <v>356</v>
      </c>
      <c r="B2" s="152"/>
      <c r="C2" s="152"/>
      <c r="D2" s="152"/>
      <c r="E2" s="152"/>
      <c r="H2" s="103"/>
      <c r="I2" s="103"/>
      <c r="J2" s="103"/>
      <c r="K2" s="103"/>
      <c r="L2" s="103"/>
      <c r="M2" s="103"/>
      <c r="N2" s="103"/>
      <c r="O2" s="103"/>
      <c r="P2" s="103"/>
      <c r="Q2" s="103"/>
      <c r="R2" s="104" t="s">
        <v>357</v>
      </c>
      <c r="T2" s="99"/>
      <c r="U2" s="99"/>
    </row>
    <row r="3" spans="1:21" x14ac:dyDescent="0.2">
      <c r="A3" s="26" t="s">
        <v>358</v>
      </c>
      <c r="B3" s="152"/>
      <c r="C3" s="152"/>
      <c r="D3" s="152"/>
      <c r="E3" s="152"/>
      <c r="H3" s="103"/>
      <c r="I3" s="103"/>
      <c r="J3" s="103"/>
      <c r="K3" s="103"/>
      <c r="L3" s="103"/>
      <c r="M3" s="103"/>
      <c r="N3" s="103"/>
      <c r="O3" s="103"/>
      <c r="P3" s="103"/>
      <c r="Q3" s="103"/>
      <c r="R3" s="107">
        <f>General!D2</f>
        <v>37256</v>
      </c>
    </row>
    <row r="4" spans="1:21" x14ac:dyDescent="0.2">
      <c r="A4" s="152"/>
      <c r="B4" s="152"/>
      <c r="C4" s="152"/>
      <c r="D4" s="152"/>
      <c r="E4" s="152"/>
      <c r="H4" s="103"/>
      <c r="I4" s="103"/>
      <c r="J4" s="103"/>
      <c r="K4" s="103"/>
      <c r="L4" s="103"/>
      <c r="M4" s="103"/>
      <c r="N4" s="103"/>
      <c r="O4" s="103"/>
      <c r="P4" s="103"/>
      <c r="Q4" s="122" t="str">
        <f>General!C3</f>
        <v>Updated by Kiewit/AECOM</v>
      </c>
      <c r="R4" s="107">
        <f>General!D3</f>
        <v>43419</v>
      </c>
    </row>
    <row r="5" spans="1:21" x14ac:dyDescent="0.2">
      <c r="A5" s="152"/>
      <c r="B5" s="152"/>
      <c r="C5" s="152"/>
      <c r="D5" s="152"/>
      <c r="E5" s="152"/>
      <c r="F5" s="396"/>
      <c r="G5" s="103"/>
      <c r="H5" s="103"/>
      <c r="I5" s="103"/>
      <c r="J5" s="103"/>
      <c r="K5" s="103"/>
      <c r="L5" s="103"/>
      <c r="M5" s="103"/>
      <c r="N5" s="103"/>
      <c r="O5" s="103"/>
      <c r="P5" s="103"/>
      <c r="Q5" s="103"/>
      <c r="R5" s="103"/>
    </row>
    <row r="6" spans="1:21" x14ac:dyDescent="0.2">
      <c r="A6" s="97"/>
      <c r="B6" s="154"/>
      <c r="C6" s="97"/>
      <c r="D6" s="96"/>
      <c r="E6" s="155"/>
      <c r="F6" s="96"/>
      <c r="G6" s="96"/>
      <c r="H6" s="96"/>
      <c r="I6" s="96"/>
      <c r="J6" s="96"/>
      <c r="K6" s="96"/>
      <c r="L6" s="96"/>
      <c r="M6" s="96"/>
      <c r="N6" s="96"/>
      <c r="O6" s="96"/>
      <c r="P6" s="96"/>
      <c r="Q6" s="96"/>
      <c r="R6" s="103"/>
    </row>
    <row r="7" spans="1:21" x14ac:dyDescent="0.2">
      <c r="A7" s="97"/>
      <c r="B7" s="154"/>
      <c r="C7" s="97"/>
      <c r="D7" s="96"/>
      <c r="E7" s="155"/>
      <c r="F7" s="96"/>
      <c r="G7" s="96"/>
      <c r="H7" s="96" t="s">
        <v>305</v>
      </c>
      <c r="I7" s="96"/>
      <c r="J7" s="96"/>
      <c r="K7" s="96"/>
      <c r="L7" s="96"/>
      <c r="M7" s="96"/>
      <c r="N7" s="96"/>
      <c r="O7" s="96"/>
      <c r="P7" s="96"/>
      <c r="Q7" s="96"/>
      <c r="R7" s="103"/>
    </row>
    <row r="8" spans="1:21" x14ac:dyDescent="0.2">
      <c r="A8" s="97"/>
      <c r="B8" s="154"/>
      <c r="C8" s="153"/>
      <c r="D8" s="98" t="s">
        <v>359</v>
      </c>
      <c r="E8" s="169" t="s">
        <v>360</v>
      </c>
      <c r="F8" s="98"/>
      <c r="G8" s="98"/>
      <c r="H8" s="98" t="s">
        <v>361</v>
      </c>
      <c r="I8" s="98" t="s">
        <v>362</v>
      </c>
      <c r="J8" s="98"/>
      <c r="K8" s="98"/>
      <c r="L8" s="98"/>
      <c r="M8" s="98"/>
      <c r="N8" s="96"/>
      <c r="O8" s="96"/>
      <c r="P8" s="96"/>
      <c r="Q8" s="96"/>
      <c r="R8" s="103"/>
    </row>
    <row r="9" spans="1:21" x14ac:dyDescent="0.2">
      <c r="A9" s="96"/>
      <c r="B9" s="96"/>
      <c r="C9" s="98"/>
      <c r="D9" s="98" t="s">
        <v>362</v>
      </c>
      <c r="E9" s="98" t="s">
        <v>363</v>
      </c>
      <c r="F9" s="98"/>
      <c r="G9" s="98" t="s">
        <v>311</v>
      </c>
      <c r="H9" s="98" t="s">
        <v>362</v>
      </c>
      <c r="I9" s="98" t="s">
        <v>364</v>
      </c>
      <c r="J9" s="98" t="s">
        <v>271</v>
      </c>
      <c r="K9" s="98" t="s">
        <v>271</v>
      </c>
      <c r="L9" s="98" t="s">
        <v>365</v>
      </c>
      <c r="M9" s="98" t="s">
        <v>366</v>
      </c>
      <c r="N9" s="98" t="s">
        <v>367</v>
      </c>
      <c r="O9" s="98" t="s">
        <v>368</v>
      </c>
      <c r="P9" s="98" t="s">
        <v>367</v>
      </c>
      <c r="Q9" s="98" t="s">
        <v>316</v>
      </c>
      <c r="R9" s="103"/>
    </row>
    <row r="10" spans="1:21" x14ac:dyDescent="0.2">
      <c r="A10" s="96" t="s">
        <v>318</v>
      </c>
      <c r="B10" s="96" t="s">
        <v>264</v>
      </c>
      <c r="C10" s="98" t="s">
        <v>296</v>
      </c>
      <c r="D10" s="98" t="s">
        <v>369</v>
      </c>
      <c r="E10" s="98" t="s">
        <v>320</v>
      </c>
      <c r="F10" s="98" t="s">
        <v>319</v>
      </c>
      <c r="G10" s="98" t="s">
        <v>320</v>
      </c>
      <c r="H10" s="98" t="s">
        <v>369</v>
      </c>
      <c r="I10" s="98" t="s">
        <v>297</v>
      </c>
      <c r="J10" s="98" t="s">
        <v>274</v>
      </c>
      <c r="K10" s="98" t="s">
        <v>267</v>
      </c>
      <c r="L10" s="98" t="s">
        <v>370</v>
      </c>
      <c r="M10" s="98" t="s">
        <v>362</v>
      </c>
      <c r="N10" s="98" t="s">
        <v>371</v>
      </c>
      <c r="O10" s="98" t="s">
        <v>362</v>
      </c>
      <c r="P10" s="98" t="s">
        <v>372</v>
      </c>
      <c r="Q10" s="98" t="s">
        <v>324</v>
      </c>
      <c r="R10" s="122" t="s">
        <v>326</v>
      </c>
    </row>
    <row r="11" spans="1:21" x14ac:dyDescent="0.2">
      <c r="A11" s="96"/>
      <c r="B11" s="96"/>
      <c r="C11" s="98" t="s">
        <v>328</v>
      </c>
      <c r="D11" s="98" t="s">
        <v>328</v>
      </c>
      <c r="E11" s="98" t="s">
        <v>373</v>
      </c>
      <c r="F11" s="98" t="s">
        <v>329</v>
      </c>
      <c r="G11" s="98" t="s">
        <v>330</v>
      </c>
      <c r="H11" s="98" t="s">
        <v>328</v>
      </c>
      <c r="I11" s="98"/>
      <c r="J11" s="98" t="s">
        <v>332</v>
      </c>
      <c r="K11" s="98" t="s">
        <v>275</v>
      </c>
      <c r="L11" s="98" t="s">
        <v>275</v>
      </c>
      <c r="M11" s="98" t="s">
        <v>373</v>
      </c>
      <c r="N11" s="98" t="s">
        <v>373</v>
      </c>
      <c r="O11" s="98" t="s">
        <v>373</v>
      </c>
      <c r="P11" s="98" t="s">
        <v>373</v>
      </c>
      <c r="Q11" s="98" t="s">
        <v>333</v>
      </c>
      <c r="R11" s="103"/>
    </row>
    <row r="12" spans="1:21" x14ac:dyDescent="0.2">
      <c r="A12" s="81"/>
      <c r="B12" s="96"/>
      <c r="C12" s="96"/>
      <c r="D12" s="96"/>
      <c r="E12" s="96"/>
      <c r="F12" s="96"/>
      <c r="G12" s="96"/>
      <c r="H12" s="96"/>
      <c r="I12" s="96"/>
      <c r="J12" s="96"/>
      <c r="K12" s="96"/>
      <c r="L12" s="96"/>
      <c r="M12" s="96"/>
      <c r="N12" s="96"/>
      <c r="O12" s="96"/>
      <c r="P12" s="96"/>
      <c r="Q12" s="96"/>
      <c r="R12" s="103"/>
    </row>
    <row r="13" spans="1:21" x14ac:dyDescent="0.2">
      <c r="A13" s="96" t="str">
        <f>'4...Earthwrk'!B21</f>
        <v>Load waste material on trucks</v>
      </c>
      <c r="B13" s="96" t="str">
        <f>'3...Material'!G21</f>
        <v>PC5500 + .5 D10 + .5 854</v>
      </c>
      <c r="C13" s="150">
        <f>'4...Earthwrk'!G21</f>
        <v>2437000</v>
      </c>
      <c r="D13" s="170">
        <f t="shared" ref="D13:D44" si="0">H13*I13</f>
        <v>34.200000000000003</v>
      </c>
      <c r="E13" s="155">
        <f t="shared" ref="E13:E44" si="1">SUM(M13:P13)</f>
        <v>0.9534999924957489</v>
      </c>
      <c r="F13" s="150">
        <f t="shared" ref="F13:F44" si="2">D13/E13*Q13*R13</f>
        <v>1801.283705838789</v>
      </c>
      <c r="G13" s="150">
        <f t="shared" ref="G13:G44" si="3">C13/F13</f>
        <v>1352.9240241837319</v>
      </c>
      <c r="H13" s="154">
        <v>38</v>
      </c>
      <c r="I13" s="171">
        <v>0.9</v>
      </c>
      <c r="J13" s="172" t="s">
        <v>374</v>
      </c>
      <c r="K13" s="172" t="s">
        <v>374</v>
      </c>
      <c r="L13" s="172" t="s">
        <v>374</v>
      </c>
      <c r="M13" s="154">
        <v>0.4</v>
      </c>
      <c r="N13" s="154">
        <v>0.25</v>
      </c>
      <c r="O13" s="154">
        <v>8.3499992495748909E-2</v>
      </c>
      <c r="P13" s="154">
        <v>0.22</v>
      </c>
      <c r="Q13" s="158">
        <v>54</v>
      </c>
      <c r="R13" s="103">
        <v>0.93</v>
      </c>
    </row>
    <row r="14" spans="1:21" x14ac:dyDescent="0.2">
      <c r="A14" s="96" t="str">
        <f>'4...Earthwrk'!B22</f>
        <v>Load waste material on trucks</v>
      </c>
      <c r="B14" s="96" t="str">
        <f>'3...Material'!G22</f>
        <v>PC5500 + .5 D10 + .5 854</v>
      </c>
      <c r="C14" s="150">
        <f>'4...Earthwrk'!G22</f>
        <v>5218000</v>
      </c>
      <c r="D14" s="170">
        <f t="shared" si="0"/>
        <v>34.200000000000003</v>
      </c>
      <c r="E14" s="155">
        <f t="shared" si="1"/>
        <v>0.9534999924957489</v>
      </c>
      <c r="F14" s="150">
        <f t="shared" si="2"/>
        <v>1801.283705838789</v>
      </c>
      <c r="G14" s="150">
        <f t="shared" si="3"/>
        <v>2896.8229619165832</v>
      </c>
      <c r="H14" s="154">
        <v>38</v>
      </c>
      <c r="I14" s="171">
        <v>0.9</v>
      </c>
      <c r="J14" s="172" t="s">
        <v>374</v>
      </c>
      <c r="K14" s="172" t="s">
        <v>374</v>
      </c>
      <c r="L14" s="172" t="s">
        <v>374</v>
      </c>
      <c r="M14" s="154">
        <v>0.4</v>
      </c>
      <c r="N14" s="154">
        <v>0.25</v>
      </c>
      <c r="O14" s="154">
        <v>8.3499992495748909E-2</v>
      </c>
      <c r="P14" s="154">
        <v>0.22</v>
      </c>
      <c r="Q14" s="158">
        <v>54</v>
      </c>
      <c r="R14" s="103">
        <v>0.93</v>
      </c>
    </row>
    <row r="15" spans="1:21" x14ac:dyDescent="0.2">
      <c r="A15" s="96" t="str">
        <f>'4...Earthwrk'!B23</f>
        <v>Load waste material on trucks</v>
      </c>
      <c r="B15" s="96" t="str">
        <f>'3...Material'!G23</f>
        <v>PC5500 + .5 D10 + .5 854</v>
      </c>
      <c r="C15" s="150">
        <f>'4...Earthwrk'!G23</f>
        <v>1348000</v>
      </c>
      <c r="D15" s="170">
        <f t="shared" si="0"/>
        <v>34.200000000000003</v>
      </c>
      <c r="E15" s="155">
        <f t="shared" si="1"/>
        <v>0.9534999924957489</v>
      </c>
      <c r="F15" s="150">
        <f t="shared" si="2"/>
        <v>1801.283705838789</v>
      </c>
      <c r="G15" s="150">
        <f t="shared" si="3"/>
        <v>748.35518448899074</v>
      </c>
      <c r="H15" s="154">
        <v>38</v>
      </c>
      <c r="I15" s="171">
        <v>0.9</v>
      </c>
      <c r="J15" s="172" t="s">
        <v>374</v>
      </c>
      <c r="K15" s="172" t="s">
        <v>374</v>
      </c>
      <c r="L15" s="172" t="s">
        <v>374</v>
      </c>
      <c r="M15" s="154">
        <v>0.4</v>
      </c>
      <c r="N15" s="154">
        <v>0.25</v>
      </c>
      <c r="O15" s="154">
        <v>8.3499992495748909E-2</v>
      </c>
      <c r="P15" s="154">
        <v>0.22</v>
      </c>
      <c r="Q15" s="158">
        <v>54</v>
      </c>
      <c r="R15" s="103">
        <v>0.93</v>
      </c>
    </row>
    <row r="16" spans="1:21" x14ac:dyDescent="0.2">
      <c r="A16" s="96" t="str">
        <f>'4...Earthwrk'!B24</f>
        <v>Load waste material on trucks</v>
      </c>
      <c r="B16" s="96" t="str">
        <f>'3...Material'!G24</f>
        <v>PC5500 + .5 D10 + .5 854</v>
      </c>
      <c r="C16" s="150">
        <f>'4...Earthwrk'!G24</f>
        <v>3746000</v>
      </c>
      <c r="D16" s="170">
        <f t="shared" si="0"/>
        <v>34.200000000000003</v>
      </c>
      <c r="E16" s="155">
        <f t="shared" si="1"/>
        <v>0.9534999924957489</v>
      </c>
      <c r="F16" s="150">
        <f t="shared" si="2"/>
        <v>1801.283705838789</v>
      </c>
      <c r="G16" s="150">
        <f t="shared" si="3"/>
        <v>2079.6279830087237</v>
      </c>
      <c r="H16" s="154">
        <v>38</v>
      </c>
      <c r="I16" s="171">
        <v>0.9</v>
      </c>
      <c r="J16" s="172" t="s">
        <v>374</v>
      </c>
      <c r="K16" s="172" t="s">
        <v>374</v>
      </c>
      <c r="L16" s="172" t="s">
        <v>374</v>
      </c>
      <c r="M16" s="154">
        <v>0.4</v>
      </c>
      <c r="N16" s="154">
        <v>0.25</v>
      </c>
      <c r="O16" s="154">
        <v>8.3499992495748909E-2</v>
      </c>
      <c r="P16" s="154">
        <v>0.22</v>
      </c>
      <c r="Q16" s="158">
        <v>54</v>
      </c>
      <c r="R16" s="103">
        <v>0.93</v>
      </c>
    </row>
    <row r="17" spans="1:18" x14ac:dyDescent="0.2">
      <c r="A17" s="96" t="str">
        <f>'4...Earthwrk'!B25</f>
        <v>Load waste material on trucks</v>
      </c>
      <c r="B17" s="96" t="str">
        <f>'3...Material'!G25</f>
        <v>PC5500 + .5 D10 + .5 854</v>
      </c>
      <c r="C17" s="150">
        <f>'4...Earthwrk'!G25</f>
        <v>234000</v>
      </c>
      <c r="D17" s="170">
        <f t="shared" si="0"/>
        <v>34.200000000000003</v>
      </c>
      <c r="E17" s="155">
        <f t="shared" si="1"/>
        <v>0.9534999924957489</v>
      </c>
      <c r="F17" s="150">
        <f t="shared" si="2"/>
        <v>1801.283705838789</v>
      </c>
      <c r="G17" s="150">
        <f t="shared" si="3"/>
        <v>129.90735398399394</v>
      </c>
      <c r="H17" s="154">
        <v>38</v>
      </c>
      <c r="I17" s="171">
        <v>0.9</v>
      </c>
      <c r="J17" s="172" t="s">
        <v>374</v>
      </c>
      <c r="K17" s="172" t="s">
        <v>374</v>
      </c>
      <c r="L17" s="172" t="s">
        <v>374</v>
      </c>
      <c r="M17" s="154">
        <v>0.4</v>
      </c>
      <c r="N17" s="154">
        <v>0.25</v>
      </c>
      <c r="O17" s="154">
        <v>8.3499992495748909E-2</v>
      </c>
      <c r="P17" s="154">
        <v>0.22</v>
      </c>
      <c r="Q17" s="158">
        <v>54</v>
      </c>
      <c r="R17" s="103">
        <v>0.93</v>
      </c>
    </row>
    <row r="18" spans="1:18" x14ac:dyDescent="0.2">
      <c r="A18" s="96" t="str">
        <f>'4...Earthwrk'!B26</f>
        <v>Load waste material on trucks</v>
      </c>
      <c r="B18" s="96" t="str">
        <f>'3...Material'!G26</f>
        <v>PC5500 + .5 D10 + .5 854</v>
      </c>
      <c r="C18" s="150">
        <f>'4...Earthwrk'!G26</f>
        <v>511000</v>
      </c>
      <c r="D18" s="170">
        <f t="shared" si="0"/>
        <v>34.200000000000003</v>
      </c>
      <c r="E18" s="155">
        <f t="shared" si="1"/>
        <v>0.9534999924957489</v>
      </c>
      <c r="F18" s="150">
        <f t="shared" si="2"/>
        <v>1801.283705838789</v>
      </c>
      <c r="G18" s="150">
        <f t="shared" si="3"/>
        <v>283.68657216162779</v>
      </c>
      <c r="H18" s="154">
        <v>38</v>
      </c>
      <c r="I18" s="171">
        <v>0.9</v>
      </c>
      <c r="J18" s="172" t="s">
        <v>374</v>
      </c>
      <c r="K18" s="172" t="s">
        <v>374</v>
      </c>
      <c r="L18" s="172" t="s">
        <v>374</v>
      </c>
      <c r="M18" s="154">
        <v>0.4</v>
      </c>
      <c r="N18" s="154">
        <v>0.25</v>
      </c>
      <c r="O18" s="154">
        <v>8.3499992495748909E-2</v>
      </c>
      <c r="P18" s="154">
        <v>0.22</v>
      </c>
      <c r="Q18" s="158">
        <v>54</v>
      </c>
      <c r="R18" s="103">
        <v>0.93</v>
      </c>
    </row>
    <row r="19" spans="1:18" x14ac:dyDescent="0.2">
      <c r="A19" s="96" t="str">
        <f>'4...Earthwrk'!B27</f>
        <v>Load waste material on trucks</v>
      </c>
      <c r="B19" s="96" t="str">
        <f>'3...Material'!G27</f>
        <v>PC5500 + .5 D10 + .5 854</v>
      </c>
      <c r="C19" s="150">
        <f>'4...Earthwrk'!G27</f>
        <v>913000</v>
      </c>
      <c r="D19" s="170">
        <f t="shared" si="0"/>
        <v>34.200000000000003</v>
      </c>
      <c r="E19" s="155">
        <f t="shared" si="1"/>
        <v>0.9534999924957489</v>
      </c>
      <c r="F19" s="150">
        <f t="shared" si="2"/>
        <v>1801.283705838789</v>
      </c>
      <c r="G19" s="150">
        <f t="shared" si="3"/>
        <v>506.8607443905405</v>
      </c>
      <c r="H19" s="154">
        <v>38</v>
      </c>
      <c r="I19" s="171">
        <v>0.9</v>
      </c>
      <c r="J19" s="172" t="s">
        <v>374</v>
      </c>
      <c r="K19" s="172" t="s">
        <v>374</v>
      </c>
      <c r="L19" s="172" t="s">
        <v>374</v>
      </c>
      <c r="M19" s="154">
        <v>0.4</v>
      </c>
      <c r="N19" s="154">
        <v>0.25</v>
      </c>
      <c r="O19" s="154">
        <v>8.3499992495748909E-2</v>
      </c>
      <c r="P19" s="154">
        <v>0.22</v>
      </c>
      <c r="Q19" s="158">
        <v>54</v>
      </c>
      <c r="R19" s="103">
        <v>0.93</v>
      </c>
    </row>
    <row r="20" spans="1:18" x14ac:dyDescent="0.2">
      <c r="A20" s="96" t="str">
        <f>'4...Earthwrk'!B28</f>
        <v>Load waste material on trucks</v>
      </c>
      <c r="B20" s="96" t="str">
        <f>'3...Material'!G28</f>
        <v>PC5500 + .5 D10 + .5 854</v>
      </c>
      <c r="C20" s="150">
        <f>'4...Earthwrk'!G28</f>
        <v>2021000</v>
      </c>
      <c r="D20" s="170">
        <f t="shared" si="0"/>
        <v>34.200000000000003</v>
      </c>
      <c r="E20" s="155">
        <f t="shared" si="1"/>
        <v>0.9534999924957489</v>
      </c>
      <c r="F20" s="150">
        <f t="shared" si="2"/>
        <v>1801.283705838789</v>
      </c>
      <c r="G20" s="150">
        <f t="shared" si="3"/>
        <v>1121.977617101076</v>
      </c>
      <c r="H20" s="154">
        <v>38</v>
      </c>
      <c r="I20" s="171">
        <v>0.9</v>
      </c>
      <c r="J20" s="172" t="s">
        <v>374</v>
      </c>
      <c r="K20" s="172" t="s">
        <v>374</v>
      </c>
      <c r="L20" s="172" t="s">
        <v>374</v>
      </c>
      <c r="M20" s="154">
        <v>0.4</v>
      </c>
      <c r="N20" s="154">
        <v>0.25</v>
      </c>
      <c r="O20" s="154">
        <v>8.3499992495748909E-2</v>
      </c>
      <c r="P20" s="154">
        <v>0.22</v>
      </c>
      <c r="Q20" s="158">
        <v>54</v>
      </c>
      <c r="R20" s="103">
        <v>0.93</v>
      </c>
    </row>
    <row r="21" spans="1:18" x14ac:dyDescent="0.2">
      <c r="A21" s="96" t="str">
        <f>'4...Earthwrk'!B29</f>
        <v>Load waste material on trucks</v>
      </c>
      <c r="B21" s="96" t="str">
        <f>'3...Material'!G29</f>
        <v>PC5500 + .5 D10 + .5 854</v>
      </c>
      <c r="C21" s="150">
        <f>'4...Earthwrk'!G29</f>
        <v>4674000</v>
      </c>
      <c r="D21" s="170">
        <f t="shared" si="0"/>
        <v>34.200000000000003</v>
      </c>
      <c r="E21" s="155">
        <f t="shared" si="1"/>
        <v>0.9534999924957489</v>
      </c>
      <c r="F21" s="150">
        <f t="shared" si="2"/>
        <v>1801.283705838789</v>
      </c>
      <c r="G21" s="150">
        <f t="shared" si="3"/>
        <v>2594.8161218854175</v>
      </c>
      <c r="H21" s="154">
        <v>38</v>
      </c>
      <c r="I21" s="171">
        <v>0.9</v>
      </c>
      <c r="J21" s="172" t="s">
        <v>374</v>
      </c>
      <c r="K21" s="172" t="s">
        <v>374</v>
      </c>
      <c r="L21" s="172" t="s">
        <v>374</v>
      </c>
      <c r="M21" s="154">
        <v>0.4</v>
      </c>
      <c r="N21" s="154">
        <v>0.25</v>
      </c>
      <c r="O21" s="154">
        <v>8.3499992495748909E-2</v>
      </c>
      <c r="P21" s="154">
        <v>0.22</v>
      </c>
      <c r="Q21" s="158">
        <v>54</v>
      </c>
      <c r="R21" s="103">
        <v>0.93</v>
      </c>
    </row>
    <row r="22" spans="1:18" x14ac:dyDescent="0.2">
      <c r="A22" s="96" t="str">
        <f>'4...Earthwrk'!B30</f>
        <v>Load waste material on trucks</v>
      </c>
      <c r="B22" s="96" t="str">
        <f>'3...Material'!G30</f>
        <v>PC5500 + .5 D10 + .5 854</v>
      </c>
      <c r="C22" s="150">
        <f>'4...Earthwrk'!G30</f>
        <v>3964000</v>
      </c>
      <c r="D22" s="170">
        <f t="shared" si="0"/>
        <v>34.200000000000003</v>
      </c>
      <c r="E22" s="155">
        <f t="shared" si="1"/>
        <v>0.9534999924957489</v>
      </c>
      <c r="F22" s="150">
        <f t="shared" si="2"/>
        <v>1801.283705838789</v>
      </c>
      <c r="G22" s="150">
        <f t="shared" si="3"/>
        <v>2200.6527828741541</v>
      </c>
      <c r="H22" s="154">
        <v>38</v>
      </c>
      <c r="I22" s="171">
        <v>0.9</v>
      </c>
      <c r="J22" s="172" t="s">
        <v>374</v>
      </c>
      <c r="K22" s="172" t="s">
        <v>374</v>
      </c>
      <c r="L22" s="172" t="s">
        <v>374</v>
      </c>
      <c r="M22" s="154">
        <v>0.4</v>
      </c>
      <c r="N22" s="154">
        <v>0.25</v>
      </c>
      <c r="O22" s="154">
        <v>8.3499992495748909E-2</v>
      </c>
      <c r="P22" s="154">
        <v>0.22</v>
      </c>
      <c r="Q22" s="158">
        <v>54</v>
      </c>
      <c r="R22" s="103">
        <v>0.93</v>
      </c>
    </row>
    <row r="23" spans="1:18" x14ac:dyDescent="0.2">
      <c r="A23" s="96" t="str">
        <f>'4...Earthwrk'!B31</f>
        <v>Load waste material on trucks</v>
      </c>
      <c r="B23" s="96" t="str">
        <f>'3...Material'!G31</f>
        <v>PC5500 + .5 D10 + .5 854</v>
      </c>
      <c r="C23" s="150">
        <f>'4...Earthwrk'!G31</f>
        <v>1662000</v>
      </c>
      <c r="D23" s="170">
        <f t="shared" si="0"/>
        <v>34.200000000000003</v>
      </c>
      <c r="E23" s="155">
        <f t="shared" si="1"/>
        <v>0.9534999924957489</v>
      </c>
      <c r="F23" s="150">
        <f t="shared" si="2"/>
        <v>1801.283705838789</v>
      </c>
      <c r="G23" s="150">
        <f t="shared" si="3"/>
        <v>922.67530906580316</v>
      </c>
      <c r="H23" s="154">
        <v>38</v>
      </c>
      <c r="I23" s="171">
        <v>0.9</v>
      </c>
      <c r="J23" s="172" t="s">
        <v>374</v>
      </c>
      <c r="K23" s="172" t="s">
        <v>374</v>
      </c>
      <c r="L23" s="172" t="s">
        <v>374</v>
      </c>
      <c r="M23" s="154">
        <v>0.4</v>
      </c>
      <c r="N23" s="154">
        <v>0.25</v>
      </c>
      <c r="O23" s="154">
        <v>8.3499992495748909E-2</v>
      </c>
      <c r="P23" s="154">
        <v>0.22</v>
      </c>
      <c r="Q23" s="158">
        <v>54</v>
      </c>
      <c r="R23" s="103">
        <v>0.93</v>
      </c>
    </row>
    <row r="24" spans="1:18" x14ac:dyDescent="0.2">
      <c r="A24" s="96" t="str">
        <f>'4...Earthwrk'!B32</f>
        <v>Load waste material on trucks</v>
      </c>
      <c r="B24" s="96" t="str">
        <f>'3...Material'!G32</f>
        <v>PC5500 + .5 D10 + .5 854</v>
      </c>
      <c r="C24" s="150">
        <f>'4...Earthwrk'!G32</f>
        <v>4345000</v>
      </c>
      <c r="D24" s="170">
        <f t="shared" si="0"/>
        <v>34.200000000000003</v>
      </c>
      <c r="E24" s="155">
        <f t="shared" si="1"/>
        <v>0.9534999924957489</v>
      </c>
      <c r="F24" s="150">
        <f t="shared" si="2"/>
        <v>1801.283705838789</v>
      </c>
      <c r="G24" s="150">
        <f t="shared" si="3"/>
        <v>2412.1686028224517</v>
      </c>
      <c r="H24" s="154">
        <v>38</v>
      </c>
      <c r="I24" s="171">
        <v>0.9</v>
      </c>
      <c r="J24" s="172" t="s">
        <v>374</v>
      </c>
      <c r="K24" s="172" t="s">
        <v>374</v>
      </c>
      <c r="L24" s="172" t="s">
        <v>374</v>
      </c>
      <c r="M24" s="154">
        <v>0.4</v>
      </c>
      <c r="N24" s="154">
        <v>0.25</v>
      </c>
      <c r="O24" s="154">
        <v>8.3499992495748909E-2</v>
      </c>
      <c r="P24" s="154">
        <v>0.22</v>
      </c>
      <c r="Q24" s="158">
        <v>54</v>
      </c>
      <c r="R24" s="103">
        <v>0.93</v>
      </c>
    </row>
    <row r="25" spans="1:18" x14ac:dyDescent="0.2">
      <c r="A25" s="96" t="str">
        <f>'4...Earthwrk'!B33</f>
        <v>Load waste material on trucks</v>
      </c>
      <c r="B25" s="96" t="str">
        <f>'3...Material'!G33</f>
        <v>PC5500 + .5 D10 + .5 854</v>
      </c>
      <c r="C25" s="150">
        <f>'4...Earthwrk'!G33</f>
        <v>2085000</v>
      </c>
      <c r="D25" s="170">
        <f t="shared" si="0"/>
        <v>34.200000000000003</v>
      </c>
      <c r="E25" s="155">
        <f t="shared" si="1"/>
        <v>0.9534999924957489</v>
      </c>
      <c r="F25" s="150">
        <f t="shared" si="2"/>
        <v>1801.283705838789</v>
      </c>
      <c r="G25" s="150">
        <f t="shared" si="3"/>
        <v>1157.5078335753308</v>
      </c>
      <c r="H25" s="154">
        <v>38</v>
      </c>
      <c r="I25" s="171">
        <v>0.9</v>
      </c>
      <c r="J25" s="172" t="s">
        <v>374</v>
      </c>
      <c r="K25" s="172" t="s">
        <v>374</v>
      </c>
      <c r="L25" s="172" t="s">
        <v>374</v>
      </c>
      <c r="M25" s="154">
        <v>0.4</v>
      </c>
      <c r="N25" s="154">
        <v>0.25</v>
      </c>
      <c r="O25" s="154">
        <v>8.3499992495748909E-2</v>
      </c>
      <c r="P25" s="154">
        <v>0.22</v>
      </c>
      <c r="Q25" s="158">
        <v>54</v>
      </c>
      <c r="R25" s="103">
        <v>0.93</v>
      </c>
    </row>
    <row r="26" spans="1:18" x14ac:dyDescent="0.2">
      <c r="A26" s="96" t="str">
        <f>'4...Earthwrk'!B34</f>
        <v>Load waste material on trucks</v>
      </c>
      <c r="B26" s="96" t="str">
        <f>'3...Material'!G34</f>
        <v>PC5500 + .5 D10 + .5 854</v>
      </c>
      <c r="C26" s="150">
        <f>'4...Earthwrk'!G34</f>
        <v>163000</v>
      </c>
      <c r="D26" s="170">
        <f t="shared" si="0"/>
        <v>34.200000000000003</v>
      </c>
      <c r="E26" s="155">
        <f t="shared" si="1"/>
        <v>0.9534999924957489</v>
      </c>
      <c r="F26" s="150">
        <f t="shared" si="2"/>
        <v>1801.283705838789</v>
      </c>
      <c r="G26" s="150">
        <f t="shared" si="3"/>
        <v>90.491020082867578</v>
      </c>
      <c r="H26" s="154">
        <v>38</v>
      </c>
      <c r="I26" s="171">
        <v>0.9</v>
      </c>
      <c r="J26" s="172" t="s">
        <v>374</v>
      </c>
      <c r="K26" s="172" t="s">
        <v>374</v>
      </c>
      <c r="L26" s="172" t="s">
        <v>374</v>
      </c>
      <c r="M26" s="154">
        <v>0.4</v>
      </c>
      <c r="N26" s="154">
        <v>0.25</v>
      </c>
      <c r="O26" s="154">
        <v>8.3499992495748909E-2</v>
      </c>
      <c r="P26" s="154">
        <v>0.22</v>
      </c>
      <c r="Q26" s="158">
        <v>54</v>
      </c>
      <c r="R26" s="103">
        <v>0.93</v>
      </c>
    </row>
    <row r="27" spans="1:18" x14ac:dyDescent="0.2">
      <c r="A27" s="96" t="str">
        <f>'4...Earthwrk'!B35</f>
        <v>Load waste material on trucks</v>
      </c>
      <c r="B27" s="96" t="str">
        <f>'3...Material'!G35</f>
        <v>PC5500 + .5 D10 + .5 854</v>
      </c>
      <c r="C27" s="150">
        <f>'4...Earthwrk'!G35</f>
        <v>687000</v>
      </c>
      <c r="D27" s="170">
        <f t="shared" si="0"/>
        <v>34.200000000000003</v>
      </c>
      <c r="E27" s="155">
        <f t="shared" si="1"/>
        <v>0.9534999924957489</v>
      </c>
      <c r="F27" s="150">
        <f t="shared" si="2"/>
        <v>1801.283705838789</v>
      </c>
      <c r="G27" s="150">
        <f t="shared" si="3"/>
        <v>381.39466746582838</v>
      </c>
      <c r="H27" s="154">
        <v>38</v>
      </c>
      <c r="I27" s="171">
        <v>0.9</v>
      </c>
      <c r="J27" s="172" t="s">
        <v>374</v>
      </c>
      <c r="K27" s="172" t="s">
        <v>374</v>
      </c>
      <c r="L27" s="172" t="s">
        <v>374</v>
      </c>
      <c r="M27" s="154">
        <v>0.4</v>
      </c>
      <c r="N27" s="154">
        <v>0.25</v>
      </c>
      <c r="O27" s="154">
        <v>8.3499992495748909E-2</v>
      </c>
      <c r="P27" s="154">
        <v>0.22</v>
      </c>
      <c r="Q27" s="158">
        <v>54</v>
      </c>
      <c r="R27" s="103">
        <v>0.93</v>
      </c>
    </row>
    <row r="28" spans="1:18" x14ac:dyDescent="0.2">
      <c r="A28" s="96" t="str">
        <f>'4...Earthwrk'!B36</f>
        <v>Load waste material on trucks</v>
      </c>
      <c r="B28" s="96" t="str">
        <f>'3...Material'!G36</f>
        <v>PC5500 + .5 D10 + .5 854</v>
      </c>
      <c r="C28" s="150">
        <f>'4...Earthwrk'!G36</f>
        <v>1152000</v>
      </c>
      <c r="D28" s="170">
        <f t="shared" si="0"/>
        <v>34.200000000000003</v>
      </c>
      <c r="E28" s="155">
        <f t="shared" si="1"/>
        <v>0.9534999924957489</v>
      </c>
      <c r="F28" s="150">
        <f t="shared" si="2"/>
        <v>1801.283705838789</v>
      </c>
      <c r="G28" s="150">
        <f t="shared" si="3"/>
        <v>639.54389653658563</v>
      </c>
      <c r="H28" s="154">
        <v>38</v>
      </c>
      <c r="I28" s="171">
        <v>0.9</v>
      </c>
      <c r="J28" s="172" t="s">
        <v>374</v>
      </c>
      <c r="K28" s="172" t="s">
        <v>374</v>
      </c>
      <c r="L28" s="172" t="s">
        <v>374</v>
      </c>
      <c r="M28" s="154">
        <v>0.4</v>
      </c>
      <c r="N28" s="154">
        <v>0.25</v>
      </c>
      <c r="O28" s="154">
        <v>8.3499992495748909E-2</v>
      </c>
      <c r="P28" s="154">
        <v>0.22</v>
      </c>
      <c r="Q28" s="158">
        <v>54</v>
      </c>
      <c r="R28" s="103">
        <v>0.93</v>
      </c>
    </row>
    <row r="29" spans="1:18" x14ac:dyDescent="0.2">
      <c r="A29" s="96" t="str">
        <f>'4...Earthwrk'!B37</f>
        <v>Load waste material on trucks</v>
      </c>
      <c r="B29" s="96" t="str">
        <f>'3...Material'!G37</f>
        <v>PC5500 + .5 D10 + .5 854</v>
      </c>
      <c r="C29" s="150">
        <f>'4...Earthwrk'!G37</f>
        <v>1240000</v>
      </c>
      <c r="D29" s="170">
        <f t="shared" si="0"/>
        <v>34.200000000000003</v>
      </c>
      <c r="E29" s="155">
        <f t="shared" si="1"/>
        <v>0.9534999924957489</v>
      </c>
      <c r="F29" s="150">
        <f t="shared" si="2"/>
        <v>1801.283705838789</v>
      </c>
      <c r="G29" s="150">
        <f t="shared" si="3"/>
        <v>688.39794418868587</v>
      </c>
      <c r="H29" s="154">
        <v>38</v>
      </c>
      <c r="I29" s="171">
        <v>0.9</v>
      </c>
      <c r="J29" s="172" t="s">
        <v>374</v>
      </c>
      <c r="K29" s="172" t="s">
        <v>374</v>
      </c>
      <c r="L29" s="172" t="s">
        <v>374</v>
      </c>
      <c r="M29" s="154">
        <v>0.4</v>
      </c>
      <c r="N29" s="154">
        <v>0.25</v>
      </c>
      <c r="O29" s="154">
        <v>8.3499992495748909E-2</v>
      </c>
      <c r="P29" s="154">
        <v>0.22</v>
      </c>
      <c r="Q29" s="158">
        <v>54</v>
      </c>
      <c r="R29" s="103">
        <v>0.93</v>
      </c>
    </row>
    <row r="30" spans="1:18" x14ac:dyDescent="0.2">
      <c r="A30" s="96" t="str">
        <f>'4...Earthwrk'!B38</f>
        <v>Load waste material on trucks</v>
      </c>
      <c r="B30" s="96" t="str">
        <f>'3...Material'!G38</f>
        <v>PC2000 + .5 D8 + .5 854</v>
      </c>
      <c r="C30" s="150">
        <f>'4...Earthwrk'!G38</f>
        <v>750000</v>
      </c>
      <c r="D30" s="170">
        <f t="shared" si="0"/>
        <v>12.96</v>
      </c>
      <c r="E30" s="155">
        <f t="shared" si="1"/>
        <v>0.89999999999999991</v>
      </c>
      <c r="F30" s="150">
        <f t="shared" si="2"/>
        <v>723.16800000000012</v>
      </c>
      <c r="G30" s="150">
        <f t="shared" si="3"/>
        <v>1037.1034116553828</v>
      </c>
      <c r="H30" s="154">
        <v>14.4</v>
      </c>
      <c r="I30" s="171">
        <v>0.9</v>
      </c>
      <c r="J30" s="172" t="s">
        <v>374</v>
      </c>
      <c r="K30" s="172" t="s">
        <v>374</v>
      </c>
      <c r="L30" s="172" t="s">
        <v>374</v>
      </c>
      <c r="M30" s="154">
        <v>0.4</v>
      </c>
      <c r="N30" s="154">
        <v>0.22</v>
      </c>
      <c r="O30" s="154">
        <v>0.08</v>
      </c>
      <c r="P30" s="154">
        <v>0.2</v>
      </c>
      <c r="Q30" s="158">
        <v>54</v>
      </c>
      <c r="R30" s="103">
        <v>0.93</v>
      </c>
    </row>
    <row r="31" spans="1:18" x14ac:dyDescent="0.2">
      <c r="A31" s="96" t="str">
        <f>'4...Earthwrk'!B39</f>
        <v>Load waste material on trucks</v>
      </c>
      <c r="B31" s="96" t="str">
        <f>'3...Material'!G39</f>
        <v>PC2000 + .5 D8 + .5 854</v>
      </c>
      <c r="C31" s="150">
        <f>'4...Earthwrk'!G39</f>
        <v>4900000</v>
      </c>
      <c r="D31" s="170">
        <f t="shared" si="0"/>
        <v>12.96</v>
      </c>
      <c r="E31" s="155">
        <f t="shared" si="1"/>
        <v>0.89999999999999991</v>
      </c>
      <c r="F31" s="150">
        <f t="shared" si="2"/>
        <v>723.16800000000012</v>
      </c>
      <c r="G31" s="150">
        <f t="shared" si="3"/>
        <v>6775.7422894818346</v>
      </c>
      <c r="H31" s="154">
        <v>14.4</v>
      </c>
      <c r="I31" s="171">
        <v>0.9</v>
      </c>
      <c r="J31" s="172" t="s">
        <v>374</v>
      </c>
      <c r="K31" s="172" t="s">
        <v>374</v>
      </c>
      <c r="L31" s="172" t="s">
        <v>374</v>
      </c>
      <c r="M31" s="154">
        <v>0.4</v>
      </c>
      <c r="N31" s="154">
        <v>0.22</v>
      </c>
      <c r="O31" s="154">
        <v>0.08</v>
      </c>
      <c r="P31" s="154">
        <v>0.2</v>
      </c>
      <c r="Q31" s="158">
        <v>54</v>
      </c>
      <c r="R31" s="103">
        <v>0.93</v>
      </c>
    </row>
    <row r="32" spans="1:18" x14ac:dyDescent="0.2">
      <c r="A32" s="96" t="str">
        <f>'4...Earthwrk'!B40</f>
        <v>Load waste material on trucks</v>
      </c>
      <c r="B32" s="96" t="str">
        <f>'3...Material'!G40</f>
        <v>PC2000 + .5 D8 + .5 854</v>
      </c>
      <c r="C32" s="150">
        <f>'4...Earthwrk'!G40</f>
        <v>2269500</v>
      </c>
      <c r="D32" s="170">
        <f t="shared" si="0"/>
        <v>12.96</v>
      </c>
      <c r="E32" s="155">
        <f t="shared" si="1"/>
        <v>0.89999999999999991</v>
      </c>
      <c r="F32" s="150">
        <f t="shared" si="2"/>
        <v>723.16800000000012</v>
      </c>
      <c r="G32" s="150">
        <f t="shared" si="3"/>
        <v>3138.2749236691884</v>
      </c>
      <c r="H32" s="154">
        <v>14.4</v>
      </c>
      <c r="I32" s="171">
        <v>0.9</v>
      </c>
      <c r="J32" s="172" t="s">
        <v>374</v>
      </c>
      <c r="K32" s="172" t="s">
        <v>374</v>
      </c>
      <c r="L32" s="172" t="s">
        <v>374</v>
      </c>
      <c r="M32" s="154">
        <v>0.4</v>
      </c>
      <c r="N32" s="154">
        <v>0.22</v>
      </c>
      <c r="O32" s="154">
        <v>0.08</v>
      </c>
      <c r="P32" s="154">
        <v>0.2</v>
      </c>
      <c r="Q32" s="158">
        <v>54</v>
      </c>
      <c r="R32" s="103">
        <v>0.93</v>
      </c>
    </row>
    <row r="33" spans="1:18" x14ac:dyDescent="0.2">
      <c r="A33" s="96" t="str">
        <f>'4...Earthwrk'!B41</f>
        <v>Build Access Haul Road</v>
      </c>
      <c r="B33" s="96" t="str">
        <f>'3...Material'!G41</f>
        <v>PC2000 + .5 D8 + .5 854</v>
      </c>
      <c r="C33" s="150">
        <f>'4...Earthwrk'!G41</f>
        <v>1450000</v>
      </c>
      <c r="D33" s="170">
        <f t="shared" si="0"/>
        <v>12.96</v>
      </c>
      <c r="E33" s="155">
        <f t="shared" si="1"/>
        <v>0.89999999999999991</v>
      </c>
      <c r="F33" s="150">
        <f t="shared" si="2"/>
        <v>723.16800000000012</v>
      </c>
      <c r="G33" s="150">
        <f t="shared" si="3"/>
        <v>2005.0665958670734</v>
      </c>
      <c r="H33" s="154">
        <v>14.4</v>
      </c>
      <c r="I33" s="171">
        <v>0.9</v>
      </c>
      <c r="J33" s="172" t="s">
        <v>374</v>
      </c>
      <c r="K33" s="172" t="s">
        <v>374</v>
      </c>
      <c r="L33" s="172" t="s">
        <v>374</v>
      </c>
      <c r="M33" s="154">
        <v>0.4</v>
      </c>
      <c r="N33" s="154">
        <v>0.22</v>
      </c>
      <c r="O33" s="154">
        <v>0.08</v>
      </c>
      <c r="P33" s="154">
        <v>0.2</v>
      </c>
      <c r="Q33" s="158">
        <v>54</v>
      </c>
      <c r="R33" s="103">
        <v>0.93</v>
      </c>
    </row>
    <row r="34" spans="1:18" x14ac:dyDescent="0.2">
      <c r="A34" s="96" t="str">
        <f>'4...Earthwrk'!B42</f>
        <v>Access Ramp Rehandle</v>
      </c>
      <c r="B34" s="96" t="str">
        <f>'3...Material'!G42</f>
        <v>PC2000 + .5 D8 + .5 854</v>
      </c>
      <c r="C34" s="150">
        <f>'4...Earthwrk'!G42</f>
        <v>800000</v>
      </c>
      <c r="D34" s="170">
        <f t="shared" si="0"/>
        <v>12.96</v>
      </c>
      <c r="E34" s="155">
        <f t="shared" si="1"/>
        <v>0.89999999999999991</v>
      </c>
      <c r="F34" s="150">
        <f t="shared" si="2"/>
        <v>723.16800000000012</v>
      </c>
      <c r="G34" s="150">
        <f t="shared" si="3"/>
        <v>1106.2436390990749</v>
      </c>
      <c r="H34" s="154">
        <v>14.4</v>
      </c>
      <c r="I34" s="171">
        <v>0.9</v>
      </c>
      <c r="J34" s="172" t="s">
        <v>374</v>
      </c>
      <c r="K34" s="172" t="s">
        <v>374</v>
      </c>
      <c r="L34" s="172" t="s">
        <v>374</v>
      </c>
      <c r="M34" s="154">
        <v>0.4</v>
      </c>
      <c r="N34" s="154">
        <v>0.22</v>
      </c>
      <c r="O34" s="154">
        <v>0.08</v>
      </c>
      <c r="P34" s="154">
        <v>0.2</v>
      </c>
      <c r="Q34" s="158">
        <v>54</v>
      </c>
      <c r="R34" s="103">
        <v>0.93</v>
      </c>
    </row>
    <row r="35" spans="1:18" x14ac:dyDescent="0.2">
      <c r="A35" s="96" t="str">
        <f>'4...Earthwrk'!B43</f>
        <v>Load waste material on trucks</v>
      </c>
      <c r="B35" s="96" t="str">
        <f>'3...Material'!G43</f>
        <v>PC1250 + .5 D6 + .5 834</v>
      </c>
      <c r="C35" s="150">
        <f>'4...Earthwrk'!G43</f>
        <v>2916000</v>
      </c>
      <c r="D35" s="170">
        <f t="shared" si="0"/>
        <v>4.5</v>
      </c>
      <c r="E35" s="155">
        <f t="shared" si="1"/>
        <v>0.51</v>
      </c>
      <c r="F35" s="150">
        <f t="shared" si="2"/>
        <v>443.11764705882359</v>
      </c>
      <c r="G35" s="150">
        <f t="shared" si="3"/>
        <v>6580.645161290322</v>
      </c>
      <c r="H35" s="154">
        <v>5</v>
      </c>
      <c r="I35" s="171">
        <v>0.9</v>
      </c>
      <c r="J35" s="172" t="s">
        <v>374</v>
      </c>
      <c r="K35" s="172" t="s">
        <v>374</v>
      </c>
      <c r="L35" s="172" t="s">
        <v>374</v>
      </c>
      <c r="M35" s="154">
        <v>0.18</v>
      </c>
      <c r="N35" s="154">
        <v>0.14000000000000001</v>
      </c>
      <c r="O35" s="154">
        <v>0.08</v>
      </c>
      <c r="P35" s="154">
        <v>0.11</v>
      </c>
      <c r="Q35" s="158">
        <v>54</v>
      </c>
      <c r="R35" s="103">
        <v>0.93</v>
      </c>
    </row>
    <row r="36" spans="1:18" x14ac:dyDescent="0.2">
      <c r="A36" s="96" t="str">
        <f>'4...Earthwrk'!B44</f>
        <v>Load waste material on trucks</v>
      </c>
      <c r="B36" s="96" t="str">
        <f>'3...Material'!G44</f>
        <v>PC1250 + .5 D6 + .5 834</v>
      </c>
      <c r="C36" s="150">
        <f>'4...Earthwrk'!G44</f>
        <v>1662564</v>
      </c>
      <c r="D36" s="170">
        <f t="shared" si="0"/>
        <v>4.5</v>
      </c>
      <c r="E36" s="155">
        <f t="shared" si="1"/>
        <v>0.51</v>
      </c>
      <c r="F36" s="150">
        <f t="shared" si="2"/>
        <v>443.11764705882359</v>
      </c>
      <c r="G36" s="150">
        <f t="shared" si="3"/>
        <v>3751.9697331740335</v>
      </c>
      <c r="H36" s="154">
        <v>5</v>
      </c>
      <c r="I36" s="171">
        <v>0.9</v>
      </c>
      <c r="J36" s="172" t="s">
        <v>374</v>
      </c>
      <c r="K36" s="172" t="s">
        <v>374</v>
      </c>
      <c r="L36" s="172" t="s">
        <v>374</v>
      </c>
      <c r="M36" s="154">
        <v>0.18</v>
      </c>
      <c r="N36" s="154">
        <v>0.14000000000000001</v>
      </c>
      <c r="O36" s="154">
        <v>0.08</v>
      </c>
      <c r="P36" s="154">
        <v>0.11</v>
      </c>
      <c r="Q36" s="158">
        <v>54</v>
      </c>
      <c r="R36" s="103">
        <v>0.93</v>
      </c>
    </row>
    <row r="37" spans="1:18" x14ac:dyDescent="0.2">
      <c r="A37" s="96" t="str">
        <f>'4...Earthwrk'!B45</f>
        <v>Load waste material on trucks</v>
      </c>
      <c r="B37" s="96" t="str">
        <f>'3...Material'!G45</f>
        <v>PC1250 + .5 D6 + .5 834</v>
      </c>
      <c r="C37" s="150">
        <f>'4...Earthwrk'!G45</f>
        <v>295013</v>
      </c>
      <c r="D37" s="170">
        <f t="shared" si="0"/>
        <v>4.5</v>
      </c>
      <c r="E37" s="155">
        <f t="shared" si="1"/>
        <v>0.51</v>
      </c>
      <c r="F37" s="150">
        <f t="shared" si="2"/>
        <v>443.11764705882359</v>
      </c>
      <c r="G37" s="150">
        <f t="shared" si="3"/>
        <v>665.7667595911322</v>
      </c>
      <c r="H37" s="154">
        <v>5</v>
      </c>
      <c r="I37" s="171">
        <v>0.9</v>
      </c>
      <c r="J37" s="172" t="s">
        <v>374</v>
      </c>
      <c r="K37" s="172" t="s">
        <v>374</v>
      </c>
      <c r="L37" s="172" t="s">
        <v>374</v>
      </c>
      <c r="M37" s="154">
        <v>0.18</v>
      </c>
      <c r="N37" s="154">
        <v>0.14000000000000001</v>
      </c>
      <c r="O37" s="154">
        <v>0.08</v>
      </c>
      <c r="P37" s="154">
        <v>0.11</v>
      </c>
      <c r="Q37" s="158">
        <v>54</v>
      </c>
      <c r="R37" s="103">
        <v>0.93</v>
      </c>
    </row>
    <row r="38" spans="1:18" x14ac:dyDescent="0.2">
      <c r="A38" s="96" t="str">
        <f>'4...Earthwrk'!B46</f>
        <v>Load waste material on trucks</v>
      </c>
      <c r="B38" s="96" t="str">
        <f>'3...Material'!G46</f>
        <v>PC1250 + .5 D6 + .5 834</v>
      </c>
      <c r="C38" s="150">
        <f>'4...Earthwrk'!G46</f>
        <v>109115</v>
      </c>
      <c r="D38" s="170">
        <f t="shared" si="0"/>
        <v>4.5</v>
      </c>
      <c r="E38" s="155">
        <f t="shared" si="1"/>
        <v>0.51</v>
      </c>
      <c r="F38" s="150">
        <f t="shared" si="2"/>
        <v>443.11764705882359</v>
      </c>
      <c r="G38" s="150">
        <f t="shared" si="3"/>
        <v>246.24386034780295</v>
      </c>
      <c r="H38" s="154">
        <v>5</v>
      </c>
      <c r="I38" s="171">
        <v>0.9</v>
      </c>
      <c r="J38" s="172" t="s">
        <v>374</v>
      </c>
      <c r="K38" s="172" t="s">
        <v>374</v>
      </c>
      <c r="L38" s="172" t="s">
        <v>374</v>
      </c>
      <c r="M38" s="154">
        <v>0.18</v>
      </c>
      <c r="N38" s="154">
        <v>0.14000000000000001</v>
      </c>
      <c r="O38" s="154">
        <v>0.08</v>
      </c>
      <c r="P38" s="154">
        <v>0.11</v>
      </c>
      <c r="Q38" s="158">
        <v>54</v>
      </c>
      <c r="R38" s="103">
        <v>0.93</v>
      </c>
    </row>
    <row r="39" spans="1:18" x14ac:dyDescent="0.2">
      <c r="A39" s="96" t="str">
        <f>'4...Earthwrk'!B47</f>
        <v>Build Access Haul Road</v>
      </c>
      <c r="B39" s="96" t="str">
        <f>'3...Material'!G47</f>
        <v>PC1250 + .5 D6 + .5 834</v>
      </c>
      <c r="C39" s="150">
        <f>'4...Earthwrk'!G47</f>
        <v>300000</v>
      </c>
      <c r="D39" s="170">
        <f t="shared" si="0"/>
        <v>4.5</v>
      </c>
      <c r="E39" s="155">
        <f t="shared" si="1"/>
        <v>0.51</v>
      </c>
      <c r="F39" s="150">
        <f t="shared" si="2"/>
        <v>443.11764705882359</v>
      </c>
      <c r="G39" s="150">
        <f t="shared" si="3"/>
        <v>677.02110712863396</v>
      </c>
      <c r="H39" s="154">
        <v>5</v>
      </c>
      <c r="I39" s="171">
        <v>0.9</v>
      </c>
      <c r="J39" s="172" t="s">
        <v>374</v>
      </c>
      <c r="K39" s="172" t="s">
        <v>374</v>
      </c>
      <c r="L39" s="172" t="s">
        <v>374</v>
      </c>
      <c r="M39" s="154">
        <v>0.18</v>
      </c>
      <c r="N39" s="154">
        <v>0.14000000000000001</v>
      </c>
      <c r="O39" s="154">
        <v>0.08</v>
      </c>
      <c r="P39" s="154">
        <v>0.11</v>
      </c>
      <c r="Q39" s="158">
        <v>54</v>
      </c>
      <c r="R39" s="103">
        <v>0.93</v>
      </c>
    </row>
    <row r="40" spans="1:18" x14ac:dyDescent="0.2">
      <c r="A40" s="96" t="str">
        <f>'4...Earthwrk'!B48</f>
        <v>Rehandle reject material</v>
      </c>
      <c r="B40" s="96" t="str">
        <f>'3...Material'!G48</f>
        <v>PC1250</v>
      </c>
      <c r="C40" s="150">
        <f>'4...Earthwrk'!G48</f>
        <v>476351</v>
      </c>
      <c r="D40" s="170">
        <f t="shared" si="0"/>
        <v>4.5</v>
      </c>
      <c r="E40" s="155">
        <f t="shared" si="1"/>
        <v>0.51</v>
      </c>
      <c r="F40" s="150">
        <f t="shared" si="2"/>
        <v>443.11764705882359</v>
      </c>
      <c r="G40" s="150">
        <f t="shared" si="3"/>
        <v>1074.9989380061063</v>
      </c>
      <c r="H40" s="154">
        <v>5</v>
      </c>
      <c r="I40" s="171">
        <v>0.9</v>
      </c>
      <c r="J40" s="172" t="s">
        <v>374</v>
      </c>
      <c r="K40" s="172" t="s">
        <v>374</v>
      </c>
      <c r="L40" s="172" t="s">
        <v>374</v>
      </c>
      <c r="M40" s="154">
        <v>0.18</v>
      </c>
      <c r="N40" s="154">
        <v>0.14000000000000001</v>
      </c>
      <c r="O40" s="154">
        <v>0.08</v>
      </c>
      <c r="P40" s="154">
        <v>0.11</v>
      </c>
      <c r="Q40" s="158">
        <v>54</v>
      </c>
      <c r="R40" s="103">
        <v>0.93</v>
      </c>
    </row>
    <row r="41" spans="1:18" x14ac:dyDescent="0.2">
      <c r="A41" s="96" t="str">
        <f>'4...Earthwrk'!B49</f>
        <v>Access Ramp Waste</v>
      </c>
      <c r="B41" s="96" t="str">
        <f>'3...Material'!G49</f>
        <v>PC1250 + D8</v>
      </c>
      <c r="C41" s="150">
        <f>'4...Earthwrk'!G49</f>
        <v>55669</v>
      </c>
      <c r="D41" s="170">
        <f t="shared" si="0"/>
        <v>4.5</v>
      </c>
      <c r="E41" s="155">
        <f t="shared" si="1"/>
        <v>0.72</v>
      </c>
      <c r="F41" s="150">
        <f t="shared" si="2"/>
        <v>313.875</v>
      </c>
      <c r="G41" s="150">
        <f t="shared" si="3"/>
        <v>177.36041417761848</v>
      </c>
      <c r="H41" s="154">
        <v>5</v>
      </c>
      <c r="I41" s="171">
        <v>0.9</v>
      </c>
      <c r="J41" s="172" t="s">
        <v>374</v>
      </c>
      <c r="K41" s="172" t="s">
        <v>374</v>
      </c>
      <c r="L41" s="172" t="s">
        <v>374</v>
      </c>
      <c r="M41" s="154">
        <v>0.4</v>
      </c>
      <c r="N41" s="154">
        <v>0.14000000000000001</v>
      </c>
      <c r="O41" s="154">
        <v>0.08</v>
      </c>
      <c r="P41" s="154">
        <v>0.1</v>
      </c>
      <c r="Q41" s="158">
        <v>54</v>
      </c>
      <c r="R41" s="103">
        <v>0.93</v>
      </c>
    </row>
    <row r="42" spans="1:18" x14ac:dyDescent="0.2">
      <c r="A42" s="96" t="str">
        <f>'4...Earthwrk'!B50</f>
        <v>Access Ramp Waste</v>
      </c>
      <c r="B42" s="96" t="str">
        <f>'3...Material'!G50</f>
        <v>PC1250 + D8</v>
      </c>
      <c r="C42" s="150">
        <f>'4...Earthwrk'!G50</f>
        <v>57503</v>
      </c>
      <c r="D42" s="170">
        <f t="shared" si="0"/>
        <v>4.5</v>
      </c>
      <c r="E42" s="155">
        <f t="shared" si="1"/>
        <v>0.72</v>
      </c>
      <c r="F42" s="150">
        <f t="shared" si="2"/>
        <v>313.875</v>
      </c>
      <c r="G42" s="150">
        <f t="shared" si="3"/>
        <v>183.20350457984867</v>
      </c>
      <c r="H42" s="154">
        <v>5</v>
      </c>
      <c r="I42" s="171">
        <v>0.9</v>
      </c>
      <c r="J42" s="172" t="s">
        <v>374</v>
      </c>
      <c r="K42" s="172" t="s">
        <v>374</v>
      </c>
      <c r="L42" s="172" t="s">
        <v>374</v>
      </c>
      <c r="M42" s="154">
        <v>0.4</v>
      </c>
      <c r="N42" s="154">
        <v>0.14000000000000001</v>
      </c>
      <c r="O42" s="154">
        <v>0.08</v>
      </c>
      <c r="P42" s="154">
        <v>0.1</v>
      </c>
      <c r="Q42" s="158">
        <v>54</v>
      </c>
      <c r="R42" s="103">
        <v>0.93</v>
      </c>
    </row>
    <row r="43" spans="1:18" x14ac:dyDescent="0.2">
      <c r="A43" s="96" t="str">
        <f>'4...Earthwrk'!B51</f>
        <v>Load Cut Haul Road Construction</v>
      </c>
      <c r="B43" s="96" t="str">
        <f>'3...Material'!G51</f>
        <v>CAT 345 + D8</v>
      </c>
      <c r="C43" s="150">
        <f>'4...Earthwrk'!G51</f>
        <v>17232</v>
      </c>
      <c r="D43" s="170">
        <f t="shared" si="0"/>
        <v>2.25</v>
      </c>
      <c r="E43" s="155">
        <f t="shared" si="1"/>
        <v>0.55000000000000004</v>
      </c>
      <c r="F43" s="150">
        <f t="shared" si="2"/>
        <v>205.44545454545457</v>
      </c>
      <c r="G43" s="150">
        <f t="shared" si="3"/>
        <v>83.876277711403148</v>
      </c>
      <c r="H43" s="154">
        <v>2.5</v>
      </c>
      <c r="I43" s="171">
        <v>0.9</v>
      </c>
      <c r="J43" s="172" t="s">
        <v>374</v>
      </c>
      <c r="K43" s="172" t="s">
        <v>374</v>
      </c>
      <c r="L43" s="172" t="s">
        <v>374</v>
      </c>
      <c r="M43" s="154">
        <v>0.2</v>
      </c>
      <c r="N43" s="154">
        <v>0.15</v>
      </c>
      <c r="O43" s="154">
        <v>0.08</v>
      </c>
      <c r="P43" s="154">
        <v>0.12</v>
      </c>
      <c r="Q43" s="158">
        <v>54</v>
      </c>
      <c r="R43" s="103">
        <v>0.93</v>
      </c>
    </row>
    <row r="44" spans="1:18" x14ac:dyDescent="0.2">
      <c r="A44" s="96" t="str">
        <f>'4...Earthwrk'!B52</f>
        <v>Load Cut Haul Road Construction</v>
      </c>
      <c r="B44" s="96" t="str">
        <f>'3...Material'!G52</f>
        <v>CAT 345 + D8</v>
      </c>
      <c r="C44" s="150">
        <f>'4...Earthwrk'!G52</f>
        <v>47908</v>
      </c>
      <c r="D44" s="170">
        <f t="shared" si="0"/>
        <v>2.25</v>
      </c>
      <c r="E44" s="155">
        <f t="shared" si="1"/>
        <v>0.55000000000000004</v>
      </c>
      <c r="F44" s="150">
        <f t="shared" si="2"/>
        <v>205.44545454545457</v>
      </c>
      <c r="G44" s="150">
        <f t="shared" si="3"/>
        <v>233.19084915261735</v>
      </c>
      <c r="H44" s="154">
        <v>2.5</v>
      </c>
      <c r="I44" s="171">
        <v>0.9</v>
      </c>
      <c r="J44" s="172" t="s">
        <v>374</v>
      </c>
      <c r="K44" s="172" t="s">
        <v>374</v>
      </c>
      <c r="L44" s="172" t="s">
        <v>374</v>
      </c>
      <c r="M44" s="154">
        <v>0.2</v>
      </c>
      <c r="N44" s="154">
        <v>0.15</v>
      </c>
      <c r="O44" s="154">
        <v>0.08</v>
      </c>
      <c r="P44" s="154">
        <v>0.12</v>
      </c>
      <c r="Q44" s="158">
        <v>54</v>
      </c>
      <c r="R44" s="103">
        <v>0.93</v>
      </c>
    </row>
    <row r="45" spans="1:18" x14ac:dyDescent="0.2">
      <c r="A45" s="96"/>
      <c r="B45" s="96"/>
      <c r="C45" s="150"/>
      <c r="D45" s="170"/>
      <c r="E45" s="155"/>
      <c r="F45" s="150"/>
      <c r="G45" s="150"/>
      <c r="H45" s="154"/>
      <c r="I45" s="171"/>
      <c r="J45" s="172"/>
      <c r="K45" s="172"/>
      <c r="L45" s="172"/>
      <c r="M45" s="154"/>
      <c r="N45" s="154"/>
      <c r="O45" s="154"/>
      <c r="P45" s="154"/>
      <c r="Q45" s="158"/>
      <c r="R45" s="103"/>
    </row>
    <row r="46" spans="1:18" x14ac:dyDescent="0.2">
      <c r="A46" s="96"/>
      <c r="B46" s="96"/>
      <c r="C46" s="150"/>
      <c r="D46" s="170"/>
      <c r="E46" s="155"/>
      <c r="F46" s="150"/>
      <c r="G46" s="150"/>
      <c r="H46" s="154"/>
      <c r="I46" s="171"/>
      <c r="J46" s="172"/>
      <c r="K46" s="172"/>
      <c r="L46" s="172"/>
      <c r="M46" s="154"/>
      <c r="N46" s="154"/>
      <c r="O46" s="154"/>
      <c r="P46" s="154"/>
      <c r="Q46" s="158"/>
      <c r="R46" s="103"/>
    </row>
    <row r="47" spans="1:18" x14ac:dyDescent="0.2">
      <c r="A47" s="96" t="str">
        <f>'4...Earthwrk'!B55</f>
        <v>Load cover material on trucks</v>
      </c>
      <c r="B47" s="96" t="str">
        <f>'3...Material'!G55</f>
        <v>PC2000 + .5 854</v>
      </c>
      <c r="C47" s="150">
        <f>'4...Earthwrk'!G55</f>
        <v>643986</v>
      </c>
      <c r="D47" s="170">
        <f t="shared" ref="D47:D59" si="4">H47*I47</f>
        <v>12.96</v>
      </c>
      <c r="E47" s="155">
        <f t="shared" ref="E47:E59" si="5">SUM(M47:P47)</f>
        <v>0.89999999999999991</v>
      </c>
      <c r="F47" s="150">
        <f t="shared" ref="F47:F59" si="6">D47/E47*Q47*R47</f>
        <v>723.16800000000012</v>
      </c>
      <c r="G47" s="150">
        <f t="shared" ref="G47:G59" si="7">C47/F47</f>
        <v>890.50677021107117</v>
      </c>
      <c r="H47" s="154">
        <v>14.4</v>
      </c>
      <c r="I47" s="171">
        <v>0.9</v>
      </c>
      <c r="J47" s="172" t="s">
        <v>374</v>
      </c>
      <c r="K47" s="172" t="s">
        <v>374</v>
      </c>
      <c r="L47" s="172" t="s">
        <v>374</v>
      </c>
      <c r="M47" s="154">
        <v>0.4</v>
      </c>
      <c r="N47" s="154">
        <v>0.22</v>
      </c>
      <c r="O47" s="154">
        <v>0.08</v>
      </c>
      <c r="P47" s="154">
        <v>0.2</v>
      </c>
      <c r="Q47" s="158">
        <v>54</v>
      </c>
      <c r="R47" s="103">
        <v>0.93</v>
      </c>
    </row>
    <row r="48" spans="1:18" x14ac:dyDescent="0.2">
      <c r="A48" s="96" t="str">
        <f>'4...Earthwrk'!B56</f>
        <v>Load cover material on trucks</v>
      </c>
      <c r="B48" s="96" t="str">
        <f>'3...Material'!G56</f>
        <v>PC2000 + .5 D8 + .5 854</v>
      </c>
      <c r="C48" s="150">
        <f>'4...Earthwrk'!G56</f>
        <v>677963</v>
      </c>
      <c r="D48" s="170">
        <f t="shared" si="4"/>
        <v>12.96</v>
      </c>
      <c r="E48" s="155">
        <f t="shared" si="5"/>
        <v>0.89999999999999991</v>
      </c>
      <c r="F48" s="150">
        <f t="shared" si="6"/>
        <v>723.16800000000012</v>
      </c>
      <c r="G48" s="150">
        <f t="shared" si="7"/>
        <v>937.49032036815777</v>
      </c>
      <c r="H48" s="154">
        <v>14.4</v>
      </c>
      <c r="I48" s="171">
        <v>0.9</v>
      </c>
      <c r="J48" s="172" t="s">
        <v>374</v>
      </c>
      <c r="K48" s="172" t="s">
        <v>374</v>
      </c>
      <c r="L48" s="172" t="s">
        <v>374</v>
      </c>
      <c r="M48" s="154">
        <v>0.4</v>
      </c>
      <c r="N48" s="154">
        <v>0.22</v>
      </c>
      <c r="O48" s="154">
        <v>0.08</v>
      </c>
      <c r="P48" s="154">
        <v>0.2</v>
      </c>
      <c r="Q48" s="158">
        <v>54</v>
      </c>
      <c r="R48" s="103">
        <v>0.93</v>
      </c>
    </row>
    <row r="49" spans="1:18" x14ac:dyDescent="0.2">
      <c r="A49" s="96" t="str">
        <f>'4...Earthwrk'!B57</f>
        <v>Load cover material on trucks</v>
      </c>
      <c r="B49" s="96" t="str">
        <f>'3...Material'!G57</f>
        <v>PC2000 + .5 D8 + .5 854</v>
      </c>
      <c r="C49" s="150">
        <f>'4...Earthwrk'!G57</f>
        <v>256084</v>
      </c>
      <c r="D49" s="170">
        <f t="shared" si="4"/>
        <v>12.96</v>
      </c>
      <c r="E49" s="155">
        <f t="shared" si="5"/>
        <v>0.89999999999999991</v>
      </c>
      <c r="F49" s="150">
        <f t="shared" si="6"/>
        <v>723.16800000000012</v>
      </c>
      <c r="G49" s="150">
        <f t="shared" si="7"/>
        <v>354.11412009380939</v>
      </c>
      <c r="H49" s="154">
        <v>14.4</v>
      </c>
      <c r="I49" s="171">
        <v>0.9</v>
      </c>
      <c r="J49" s="172" t="s">
        <v>374</v>
      </c>
      <c r="K49" s="172" t="s">
        <v>374</v>
      </c>
      <c r="L49" s="172" t="s">
        <v>374</v>
      </c>
      <c r="M49" s="154">
        <v>0.4</v>
      </c>
      <c r="N49" s="154">
        <v>0.22</v>
      </c>
      <c r="O49" s="154">
        <v>0.08</v>
      </c>
      <c r="P49" s="154">
        <v>0.2</v>
      </c>
      <c r="Q49" s="158">
        <v>54</v>
      </c>
      <c r="R49" s="103">
        <v>0.93</v>
      </c>
    </row>
    <row r="50" spans="1:18" x14ac:dyDescent="0.2">
      <c r="A50" s="96" t="str">
        <f>'4...Earthwrk'!B58</f>
        <v>Load cover material on trucks</v>
      </c>
      <c r="B50" s="96" t="str">
        <f>'3...Material'!G58</f>
        <v>PC2000 + .5 D8 + .5 854</v>
      </c>
      <c r="C50" s="150">
        <f>'4...Earthwrk'!G58</f>
        <v>419503</v>
      </c>
      <c r="D50" s="170">
        <f t="shared" si="4"/>
        <v>12.96</v>
      </c>
      <c r="E50" s="155">
        <f t="shared" si="5"/>
        <v>1.1099999999999999</v>
      </c>
      <c r="F50" s="150">
        <f t="shared" si="6"/>
        <v>586.35243243243258</v>
      </c>
      <c r="G50" s="150">
        <f t="shared" si="7"/>
        <v>715.44514322167629</v>
      </c>
      <c r="H50" s="154">
        <v>14.4</v>
      </c>
      <c r="I50" s="171">
        <v>0.9</v>
      </c>
      <c r="J50" s="172" t="s">
        <v>374</v>
      </c>
      <c r="K50" s="172" t="s">
        <v>374</v>
      </c>
      <c r="L50" s="172" t="s">
        <v>374</v>
      </c>
      <c r="M50" s="154">
        <v>0.57999999999999996</v>
      </c>
      <c r="N50" s="154">
        <v>0.25</v>
      </c>
      <c r="O50" s="154">
        <v>0.08</v>
      </c>
      <c r="P50" s="154">
        <v>0.2</v>
      </c>
      <c r="Q50" s="158">
        <v>54</v>
      </c>
      <c r="R50" s="103">
        <v>0.93</v>
      </c>
    </row>
    <row r="51" spans="1:18" x14ac:dyDescent="0.2">
      <c r="A51" s="96" t="str">
        <f>'4...Earthwrk'!B59</f>
        <v>Load cover material on trucks</v>
      </c>
      <c r="B51" s="96" t="str">
        <f>'3...Material'!G59</f>
        <v>PC1250 + .5 834</v>
      </c>
      <c r="C51" s="150">
        <f>'4...Earthwrk'!G59</f>
        <v>419503</v>
      </c>
      <c r="D51" s="170">
        <f t="shared" si="4"/>
        <v>4.5</v>
      </c>
      <c r="E51" s="155">
        <f t="shared" si="5"/>
        <v>0.51</v>
      </c>
      <c r="F51" s="150">
        <f t="shared" si="6"/>
        <v>443.11764705882359</v>
      </c>
      <c r="G51" s="150">
        <f t="shared" si="7"/>
        <v>946.7079516792777</v>
      </c>
      <c r="H51" s="154">
        <v>5</v>
      </c>
      <c r="I51" s="171">
        <v>0.9</v>
      </c>
      <c r="J51" s="172" t="s">
        <v>374</v>
      </c>
      <c r="K51" s="172" t="s">
        <v>374</v>
      </c>
      <c r="L51" s="172" t="s">
        <v>374</v>
      </c>
      <c r="M51" s="154">
        <v>0.18</v>
      </c>
      <c r="N51" s="154">
        <v>0.14000000000000001</v>
      </c>
      <c r="O51" s="154">
        <v>0.08</v>
      </c>
      <c r="P51" s="154">
        <v>0.11</v>
      </c>
      <c r="Q51" s="158">
        <v>54</v>
      </c>
      <c r="R51" s="103">
        <v>0.93</v>
      </c>
    </row>
    <row r="52" spans="1:18" x14ac:dyDescent="0.2">
      <c r="A52" s="96" t="str">
        <f>'4...Earthwrk'!B60</f>
        <v>Load cover material on trucks</v>
      </c>
      <c r="B52" s="96" t="str">
        <f>'3...Material'!G60</f>
        <v>PC2000 + .5 854</v>
      </c>
      <c r="C52" s="150">
        <f>'4...Earthwrk'!G60</f>
        <v>13213</v>
      </c>
      <c r="D52" s="170">
        <f t="shared" si="4"/>
        <v>12.96</v>
      </c>
      <c r="E52" s="155">
        <f t="shared" si="5"/>
        <v>1.1099999999999999</v>
      </c>
      <c r="F52" s="150">
        <f t="shared" si="6"/>
        <v>586.35243243243258</v>
      </c>
      <c r="G52" s="150">
        <f t="shared" si="7"/>
        <v>22.534229021933118</v>
      </c>
      <c r="H52" s="154">
        <v>14.4</v>
      </c>
      <c r="I52" s="171">
        <v>0.9</v>
      </c>
      <c r="J52" s="172" t="s">
        <v>374</v>
      </c>
      <c r="K52" s="172" t="s">
        <v>374</v>
      </c>
      <c r="L52" s="172" t="s">
        <v>374</v>
      </c>
      <c r="M52" s="154">
        <v>0.57999999999999996</v>
      </c>
      <c r="N52" s="154">
        <v>0.25</v>
      </c>
      <c r="O52" s="154">
        <v>0.08</v>
      </c>
      <c r="P52" s="154">
        <v>0.2</v>
      </c>
      <c r="Q52" s="158">
        <v>54</v>
      </c>
      <c r="R52" s="103">
        <v>0.93</v>
      </c>
    </row>
    <row r="53" spans="1:18" x14ac:dyDescent="0.2">
      <c r="A53" s="96" t="str">
        <f>'4...Earthwrk'!B61</f>
        <v>Load cover material on trucks</v>
      </c>
      <c r="B53" s="96" t="str">
        <f>'3...Material'!G61</f>
        <v>PC1250 + .5 834</v>
      </c>
      <c r="C53" s="150">
        <f>'4...Earthwrk'!G61</f>
        <v>13213</v>
      </c>
      <c r="D53" s="170">
        <f t="shared" si="4"/>
        <v>4.5</v>
      </c>
      <c r="E53" s="155">
        <f t="shared" si="5"/>
        <v>0.51</v>
      </c>
      <c r="F53" s="150">
        <f t="shared" si="6"/>
        <v>443.11764705882359</v>
      </c>
      <c r="G53" s="150">
        <f t="shared" si="7"/>
        <v>29.818266294968801</v>
      </c>
      <c r="H53" s="154">
        <v>5</v>
      </c>
      <c r="I53" s="171">
        <v>0.9</v>
      </c>
      <c r="J53" s="172" t="s">
        <v>374</v>
      </c>
      <c r="K53" s="172" t="s">
        <v>374</v>
      </c>
      <c r="L53" s="172" t="s">
        <v>374</v>
      </c>
      <c r="M53" s="154">
        <v>0.18</v>
      </c>
      <c r="N53" s="154">
        <v>0.14000000000000001</v>
      </c>
      <c r="O53" s="154">
        <v>0.08</v>
      </c>
      <c r="P53" s="154">
        <v>0.11</v>
      </c>
      <c r="Q53" s="158">
        <v>54</v>
      </c>
      <c r="R53" s="103">
        <v>0.93</v>
      </c>
    </row>
    <row r="54" spans="1:18" x14ac:dyDescent="0.2">
      <c r="A54" s="96" t="str">
        <f>'4...Earthwrk'!B62</f>
        <v>Load cover material on trucks</v>
      </c>
      <c r="B54" s="96" t="str">
        <f>'3...Material'!G62</f>
        <v>PC1250 + .5 834</v>
      </c>
      <c r="C54" s="150">
        <f>'4...Earthwrk'!G62</f>
        <v>769433</v>
      </c>
      <c r="D54" s="170">
        <f t="shared" si="4"/>
        <v>4.5</v>
      </c>
      <c r="E54" s="155">
        <f t="shared" si="5"/>
        <v>0.51</v>
      </c>
      <c r="F54" s="150">
        <f t="shared" si="6"/>
        <v>443.11764705882359</v>
      </c>
      <c r="G54" s="150">
        <f t="shared" si="7"/>
        <v>1736.4079384043539</v>
      </c>
      <c r="H54" s="154">
        <v>5</v>
      </c>
      <c r="I54" s="171">
        <v>0.9</v>
      </c>
      <c r="J54" s="172" t="s">
        <v>374</v>
      </c>
      <c r="K54" s="172" t="s">
        <v>374</v>
      </c>
      <c r="L54" s="172" t="s">
        <v>374</v>
      </c>
      <c r="M54" s="154">
        <v>0.18</v>
      </c>
      <c r="N54" s="154">
        <v>0.14000000000000001</v>
      </c>
      <c r="O54" s="154">
        <v>0.08</v>
      </c>
      <c r="P54" s="154">
        <v>0.11</v>
      </c>
      <c r="Q54" s="158">
        <v>54</v>
      </c>
      <c r="R54" s="103">
        <v>0.93</v>
      </c>
    </row>
    <row r="55" spans="1:18" x14ac:dyDescent="0.2">
      <c r="A55" s="96" t="str">
        <f>'4...Earthwrk'!B63</f>
        <v>Load cover material on trucks</v>
      </c>
      <c r="B55" s="96" t="str">
        <f>'3...Material'!G63</f>
        <v>PC1250 + .5 834</v>
      </c>
      <c r="C55" s="150">
        <f>'4...Earthwrk'!G63</f>
        <v>299499</v>
      </c>
      <c r="D55" s="170">
        <f t="shared" si="4"/>
        <v>4.5</v>
      </c>
      <c r="E55" s="155">
        <f t="shared" si="5"/>
        <v>0.51</v>
      </c>
      <c r="F55" s="150">
        <f t="shared" si="6"/>
        <v>443.11764705882359</v>
      </c>
      <c r="G55" s="150">
        <f t="shared" si="7"/>
        <v>675.89048187972912</v>
      </c>
      <c r="H55" s="154">
        <v>5</v>
      </c>
      <c r="I55" s="171">
        <v>0.9</v>
      </c>
      <c r="J55" s="172" t="s">
        <v>374</v>
      </c>
      <c r="K55" s="172" t="s">
        <v>374</v>
      </c>
      <c r="L55" s="172" t="s">
        <v>374</v>
      </c>
      <c r="M55" s="154">
        <v>0.18</v>
      </c>
      <c r="N55" s="154">
        <v>0.14000000000000001</v>
      </c>
      <c r="O55" s="154">
        <v>0.08</v>
      </c>
      <c r="P55" s="154">
        <v>0.11</v>
      </c>
      <c r="Q55" s="158">
        <v>54</v>
      </c>
      <c r="R55" s="103">
        <v>0.93</v>
      </c>
    </row>
    <row r="56" spans="1:18" x14ac:dyDescent="0.2">
      <c r="A56" s="96" t="str">
        <f>'4...Earthwrk'!B64</f>
        <v>Load cover material on trucks</v>
      </c>
      <c r="B56" s="96" t="str">
        <f>'3...Material'!G64</f>
        <v>PC2000 + .5 D8 + .5 854</v>
      </c>
      <c r="C56" s="150">
        <f>'4...Earthwrk'!G64</f>
        <v>217318</v>
      </c>
      <c r="D56" s="170">
        <f t="shared" si="4"/>
        <v>12.96</v>
      </c>
      <c r="E56" s="155">
        <f t="shared" si="5"/>
        <v>0.89999999999999991</v>
      </c>
      <c r="F56" s="150">
        <f t="shared" si="6"/>
        <v>723.16800000000012</v>
      </c>
      <c r="G56" s="150">
        <f t="shared" si="7"/>
        <v>300.50831895216595</v>
      </c>
      <c r="H56" s="154">
        <v>14.4</v>
      </c>
      <c r="I56" s="171">
        <v>0.9</v>
      </c>
      <c r="J56" s="172" t="s">
        <v>374</v>
      </c>
      <c r="K56" s="172" t="s">
        <v>374</v>
      </c>
      <c r="L56" s="172" t="s">
        <v>374</v>
      </c>
      <c r="M56" s="154">
        <v>0.4</v>
      </c>
      <c r="N56" s="154">
        <v>0.22</v>
      </c>
      <c r="O56" s="154">
        <v>0.08</v>
      </c>
      <c r="P56" s="154">
        <v>0.2</v>
      </c>
      <c r="Q56" s="158">
        <v>54</v>
      </c>
      <c r="R56" s="103">
        <v>0.93</v>
      </c>
    </row>
    <row r="57" spans="1:18" x14ac:dyDescent="0.2">
      <c r="A57" s="96" t="str">
        <f>'4...Earthwrk'!B65</f>
        <v>Load cover material on trucks</v>
      </c>
      <c r="B57" s="96" t="str">
        <f>'3...Material'!G65</f>
        <v>PC2000 + .5 D8 + .5 854</v>
      </c>
      <c r="C57" s="150">
        <f>'4...Earthwrk'!G65</f>
        <v>727727</v>
      </c>
      <c r="D57" s="170">
        <f t="shared" si="4"/>
        <v>12.96</v>
      </c>
      <c r="E57" s="155">
        <f t="shared" si="5"/>
        <v>0.89999999999999991</v>
      </c>
      <c r="F57" s="150">
        <f t="shared" si="6"/>
        <v>723.16800000000012</v>
      </c>
      <c r="G57" s="150">
        <f t="shared" si="7"/>
        <v>1006.3042059383157</v>
      </c>
      <c r="H57" s="154">
        <v>14.4</v>
      </c>
      <c r="I57" s="171">
        <v>0.9</v>
      </c>
      <c r="J57" s="172" t="s">
        <v>374</v>
      </c>
      <c r="K57" s="172" t="s">
        <v>374</v>
      </c>
      <c r="L57" s="172" t="s">
        <v>374</v>
      </c>
      <c r="M57" s="154">
        <v>0.4</v>
      </c>
      <c r="N57" s="154">
        <v>0.22</v>
      </c>
      <c r="O57" s="154">
        <v>0.08</v>
      </c>
      <c r="P57" s="154">
        <v>0.2</v>
      </c>
      <c r="Q57" s="158">
        <v>54</v>
      </c>
      <c r="R57" s="103">
        <v>0.93</v>
      </c>
    </row>
    <row r="58" spans="1:18" x14ac:dyDescent="0.2">
      <c r="A58" s="96" t="str">
        <f>'4...Earthwrk'!B66</f>
        <v>Load cover material on trucks</v>
      </c>
      <c r="B58" s="96" t="str">
        <f>'3...Material'!G66</f>
        <v>PC2000 + .5 D8 + .5 854</v>
      </c>
      <c r="C58" s="150">
        <f>'4...Earthwrk'!G66</f>
        <v>1228905</v>
      </c>
      <c r="D58" s="170">
        <f t="shared" si="4"/>
        <v>12.96</v>
      </c>
      <c r="E58" s="155">
        <f t="shared" si="5"/>
        <v>0.89999999999999991</v>
      </c>
      <c r="F58" s="150">
        <f t="shared" si="6"/>
        <v>723.16800000000012</v>
      </c>
      <c r="G58" s="150">
        <f t="shared" si="7"/>
        <v>1699.3354241338109</v>
      </c>
      <c r="H58" s="154">
        <v>14.4</v>
      </c>
      <c r="I58" s="171">
        <v>0.9</v>
      </c>
      <c r="J58" s="172" t="s">
        <v>374</v>
      </c>
      <c r="K58" s="172" t="s">
        <v>374</v>
      </c>
      <c r="L58" s="172" t="s">
        <v>374</v>
      </c>
      <c r="M58" s="154">
        <v>0.4</v>
      </c>
      <c r="N58" s="154">
        <v>0.22</v>
      </c>
      <c r="O58" s="154">
        <v>0.08</v>
      </c>
      <c r="P58" s="154">
        <v>0.2</v>
      </c>
      <c r="Q58" s="158">
        <v>54</v>
      </c>
      <c r="R58" s="103">
        <v>0.93</v>
      </c>
    </row>
    <row r="59" spans="1:18" x14ac:dyDescent="0.2">
      <c r="A59" s="96" t="str">
        <f>'4...Earthwrk'!B67</f>
        <v>Load cover material on trucks</v>
      </c>
      <c r="B59" s="96" t="str">
        <f>'3...Material'!G67</f>
        <v>PC1250 + .5 834</v>
      </c>
      <c r="C59" s="150">
        <f>'4...Earthwrk'!G67</f>
        <v>279311</v>
      </c>
      <c r="D59" s="170">
        <f t="shared" si="4"/>
        <v>4.5</v>
      </c>
      <c r="E59" s="155">
        <f t="shared" si="5"/>
        <v>0.51</v>
      </c>
      <c r="F59" s="150">
        <f t="shared" si="6"/>
        <v>443.11764705882359</v>
      </c>
      <c r="G59" s="150">
        <f t="shared" si="7"/>
        <v>630.33147484401957</v>
      </c>
      <c r="H59" s="154">
        <v>5</v>
      </c>
      <c r="I59" s="171">
        <v>0.9</v>
      </c>
      <c r="J59" s="172" t="s">
        <v>374</v>
      </c>
      <c r="K59" s="172" t="s">
        <v>374</v>
      </c>
      <c r="L59" s="172" t="s">
        <v>374</v>
      </c>
      <c r="M59" s="154">
        <v>0.18</v>
      </c>
      <c r="N59" s="154">
        <v>0.14000000000000001</v>
      </c>
      <c r="O59" s="154">
        <v>0.08</v>
      </c>
      <c r="P59" s="154">
        <v>0.11</v>
      </c>
      <c r="Q59" s="158">
        <v>54</v>
      </c>
      <c r="R59" s="103">
        <v>0.93</v>
      </c>
    </row>
    <row r="60" spans="1:18" x14ac:dyDescent="0.2">
      <c r="A60" s="96"/>
      <c r="B60" s="96"/>
      <c r="C60" s="150"/>
    </row>
  </sheetData>
  <printOptions horizontalCentered="1"/>
  <pageMargins left="0.68" right="0.64" top="0.61" bottom="0.8" header="0.5" footer="0.5"/>
  <pageSetup scale="5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BD61"/>
  <sheetViews>
    <sheetView workbookViewId="0"/>
  </sheetViews>
  <sheetFormatPr defaultColWidth="12.5703125" defaultRowHeight="15" x14ac:dyDescent="0.2"/>
  <cols>
    <col min="1" max="1" width="23" style="99" customWidth="1"/>
    <col min="2" max="2" width="27.42578125" style="99" customWidth="1"/>
    <col min="3" max="3" width="37.42578125" style="99" bestFit="1" customWidth="1"/>
    <col min="4" max="4" width="12.28515625" style="99" customWidth="1"/>
    <col min="5" max="5" width="13.5703125" style="99" customWidth="1"/>
    <col min="6" max="6" width="7.5703125" style="99" customWidth="1"/>
    <col min="7" max="7" width="10.42578125" style="99" customWidth="1"/>
    <col min="8" max="8" width="13.7109375" style="99" customWidth="1"/>
    <col min="9" max="9" width="11.140625" style="99" customWidth="1"/>
    <col min="10" max="10" width="12.140625" style="99" customWidth="1"/>
    <col min="11" max="11" width="10.5703125" style="99" customWidth="1"/>
    <col min="12" max="12" width="11.85546875" style="99" customWidth="1"/>
    <col min="13" max="13" width="10.42578125" style="99" customWidth="1"/>
    <col min="14" max="21" width="12.5703125" style="99" customWidth="1"/>
    <col min="22" max="22" width="13.85546875" style="99" customWidth="1"/>
    <col min="23" max="30" width="13.28515625" style="99" customWidth="1"/>
    <col min="31" max="31" width="8" style="99" customWidth="1"/>
    <col min="32" max="32" width="8.5703125" style="99" customWidth="1"/>
    <col min="33" max="33" width="10.5703125" style="99" customWidth="1"/>
    <col min="34" max="34" width="12" style="99" customWidth="1"/>
    <col min="35" max="35" width="11.42578125" style="99" customWidth="1"/>
    <col min="36" max="36" width="9.7109375" style="99" customWidth="1"/>
    <col min="37" max="37" width="10.42578125" style="99" customWidth="1"/>
    <col min="38" max="38" width="16.42578125" style="99" customWidth="1"/>
    <col min="39" max="43" width="16.28515625" style="99" customWidth="1"/>
    <col min="44" max="44" width="16.42578125" style="99" customWidth="1"/>
    <col min="45" max="45" width="16.28515625" style="99" customWidth="1"/>
    <col min="46" max="16384" width="12.5703125" style="99"/>
  </cols>
  <sheetData>
    <row r="1" spans="1:56" ht="13.9" customHeight="1" x14ac:dyDescent="0.2">
      <c r="A1" s="97" t="s">
        <v>355</v>
      </c>
      <c r="B1" s="97"/>
      <c r="C1" s="97"/>
      <c r="D1" s="97"/>
      <c r="E1" s="97"/>
      <c r="F1" s="97"/>
      <c r="G1" s="97"/>
      <c r="J1" s="96"/>
      <c r="K1" s="96"/>
      <c r="L1" s="96"/>
      <c r="M1" s="96"/>
      <c r="N1" s="96"/>
      <c r="O1" s="96"/>
      <c r="P1" s="96"/>
      <c r="Q1" s="96"/>
      <c r="R1" s="96"/>
      <c r="S1" s="96"/>
      <c r="T1" s="96"/>
      <c r="U1" s="96"/>
      <c r="V1" s="96"/>
      <c r="AA1" s="97"/>
      <c r="AB1" s="153" t="str">
        <f>General!$D$1</f>
        <v>Questa Mine Site</v>
      </c>
      <c r="AC1" s="153"/>
      <c r="AD1" s="153"/>
      <c r="AE1" s="96"/>
      <c r="AF1" s="96"/>
      <c r="AG1" s="96"/>
      <c r="AH1" s="96"/>
      <c r="AI1" s="96"/>
      <c r="AJ1" s="96"/>
      <c r="AK1" s="96"/>
      <c r="AL1" s="96"/>
      <c r="AM1" s="96"/>
      <c r="AN1" s="96"/>
      <c r="AO1" s="96"/>
      <c r="AP1" s="96"/>
      <c r="AQ1" s="96"/>
      <c r="AR1" s="97"/>
      <c r="AS1" s="153" t="str">
        <f>General!$D$1</f>
        <v>Questa Mine Site</v>
      </c>
      <c r="AT1" s="96"/>
      <c r="AU1" s="335"/>
      <c r="AW1" s="96"/>
      <c r="AX1" s="96"/>
      <c r="AY1" s="96"/>
      <c r="AZ1" s="96"/>
      <c r="BA1" s="96"/>
      <c r="BB1" s="96"/>
      <c r="BC1" s="96"/>
      <c r="BD1" s="96"/>
    </row>
    <row r="2" spans="1:56" ht="13.9" customHeight="1" x14ac:dyDescent="0.2">
      <c r="A2" s="97" t="s">
        <v>356</v>
      </c>
      <c r="B2" s="97"/>
      <c r="C2" s="97"/>
      <c r="D2" s="97"/>
      <c r="E2" s="97"/>
      <c r="F2" s="97"/>
      <c r="G2" s="97"/>
      <c r="J2" s="96"/>
      <c r="K2" s="96"/>
      <c r="M2" s="96"/>
      <c r="O2" s="96"/>
      <c r="P2" s="96"/>
      <c r="Q2" s="96"/>
      <c r="R2" s="96"/>
      <c r="S2" s="96"/>
      <c r="T2" s="96"/>
      <c r="U2" s="96"/>
      <c r="V2" s="96"/>
      <c r="AA2" s="97"/>
      <c r="AB2" s="153" t="s">
        <v>375</v>
      </c>
      <c r="AC2" s="153"/>
      <c r="AD2" s="153"/>
      <c r="AE2" s="96"/>
      <c r="AF2" s="96"/>
      <c r="AG2" s="96"/>
      <c r="AH2" s="96"/>
      <c r="AI2" s="96"/>
      <c r="AJ2" s="96"/>
      <c r="AK2" s="96"/>
      <c r="AL2" s="96"/>
      <c r="AM2" s="96"/>
      <c r="AN2" s="96"/>
      <c r="AO2" s="96"/>
      <c r="AP2" s="96"/>
      <c r="AQ2" s="96"/>
      <c r="AR2" s="97"/>
      <c r="AS2" s="153" t="s">
        <v>375</v>
      </c>
      <c r="AT2" s="96"/>
      <c r="AW2" s="96"/>
      <c r="AX2" s="96"/>
      <c r="AY2" s="96"/>
      <c r="AZ2" s="96"/>
      <c r="BA2" s="96"/>
      <c r="BB2" s="96"/>
      <c r="BC2" s="96"/>
      <c r="BD2" s="96"/>
    </row>
    <row r="3" spans="1:56" ht="13.9" customHeight="1" x14ac:dyDescent="0.2">
      <c r="A3" s="27" t="s">
        <v>376</v>
      </c>
      <c r="B3" s="27"/>
      <c r="C3" s="27"/>
      <c r="D3" s="97"/>
      <c r="E3" s="97"/>
      <c r="F3" s="97"/>
      <c r="G3" s="97"/>
      <c r="J3" s="96"/>
      <c r="K3" s="96"/>
      <c r="M3" s="96"/>
      <c r="O3" s="96"/>
      <c r="P3" s="96"/>
      <c r="Q3" s="96"/>
      <c r="R3" s="96"/>
      <c r="S3" s="96"/>
      <c r="T3" s="96"/>
      <c r="U3" s="96"/>
      <c r="V3" s="96"/>
      <c r="AA3" s="97"/>
      <c r="AB3" s="173">
        <f>General!$D$2</f>
        <v>37256</v>
      </c>
      <c r="AC3" s="173"/>
      <c r="AD3" s="173"/>
      <c r="AE3" s="96"/>
      <c r="AF3" s="96"/>
      <c r="AG3" s="96"/>
      <c r="AH3" s="96"/>
      <c r="AI3" s="96"/>
      <c r="AJ3" s="96"/>
      <c r="AK3" s="96"/>
      <c r="AL3" s="96"/>
      <c r="AM3" s="96"/>
      <c r="AN3" s="96"/>
      <c r="AO3" s="96"/>
      <c r="AP3" s="96"/>
      <c r="AQ3" s="96"/>
      <c r="AR3" s="97"/>
      <c r="AS3" s="173">
        <f>General!$D$2</f>
        <v>37256</v>
      </c>
      <c r="AT3" s="96"/>
      <c r="AU3" s="96"/>
      <c r="AV3" s="96"/>
      <c r="AW3" s="96"/>
      <c r="AX3" s="96"/>
      <c r="AY3" s="96"/>
      <c r="AZ3" s="96"/>
      <c r="BA3" s="96"/>
      <c r="BB3" s="96"/>
      <c r="BC3" s="96"/>
      <c r="BD3" s="96"/>
    </row>
    <row r="4" spans="1:56" ht="13.9" customHeight="1" x14ac:dyDescent="0.2">
      <c r="A4" s="97"/>
      <c r="B4" s="97"/>
      <c r="C4" s="97"/>
      <c r="D4" s="97"/>
      <c r="E4" s="97"/>
      <c r="F4" s="97"/>
      <c r="G4" s="97"/>
      <c r="J4" s="96"/>
      <c r="K4" s="96"/>
      <c r="M4" s="96"/>
      <c r="O4" s="300"/>
      <c r="P4" s="96"/>
      <c r="Q4" s="96"/>
      <c r="R4" s="96"/>
      <c r="S4" s="96"/>
      <c r="T4" s="96"/>
      <c r="U4" s="96"/>
      <c r="V4" s="96"/>
      <c r="AA4" s="153" t="str">
        <f>General!$C$3</f>
        <v>Updated by Kiewit/AECOM</v>
      </c>
      <c r="AB4" s="173">
        <f>General!$D$3</f>
        <v>43419</v>
      </c>
      <c r="AC4" s="173"/>
      <c r="AD4" s="173"/>
      <c r="AE4" s="96"/>
      <c r="AF4" s="96"/>
      <c r="AG4" s="96"/>
      <c r="AH4" s="96"/>
      <c r="AI4" s="96"/>
      <c r="AJ4" s="96"/>
      <c r="AK4" s="96"/>
      <c r="AL4" s="96"/>
      <c r="AM4" s="96"/>
      <c r="AN4" s="96"/>
      <c r="AO4" s="96"/>
      <c r="AP4" s="96"/>
      <c r="AQ4" s="96"/>
      <c r="AR4" s="153" t="str">
        <f>General!$C$3</f>
        <v>Updated by Kiewit/AECOM</v>
      </c>
      <c r="AS4" s="173">
        <f>General!$D$3</f>
        <v>43419</v>
      </c>
      <c r="AT4" s="96"/>
      <c r="AU4" s="96"/>
      <c r="AV4" s="96"/>
      <c r="AW4" s="96"/>
      <c r="AX4" s="96"/>
      <c r="AY4" s="96"/>
      <c r="AZ4" s="96"/>
      <c r="BA4" s="96"/>
      <c r="BB4" s="96"/>
      <c r="BC4" s="96"/>
      <c r="BD4" s="96"/>
    </row>
    <row r="5" spans="1:56" ht="13.9" customHeight="1" x14ac:dyDescent="0.2">
      <c r="A5" s="97"/>
      <c r="B5" s="97"/>
      <c r="C5" s="97"/>
      <c r="D5" s="97"/>
      <c r="E5" s="97"/>
      <c r="F5" s="97"/>
      <c r="G5" s="97"/>
      <c r="H5" s="97"/>
      <c r="J5" s="300"/>
      <c r="K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row>
    <row r="6" spans="1:56" ht="13.9" customHeight="1" x14ac:dyDescent="0.25">
      <c r="A6" s="34"/>
      <c r="B6" s="34"/>
      <c r="C6" s="34"/>
      <c r="D6" s="33"/>
      <c r="E6" s="34"/>
      <c r="F6" s="96"/>
      <c r="G6" s="96"/>
      <c r="H6" s="155"/>
      <c r="I6" s="96"/>
      <c r="J6" s="97"/>
      <c r="K6" s="97"/>
      <c r="L6" s="97"/>
      <c r="M6" s="28"/>
      <c r="N6" s="28"/>
      <c r="O6" s="28"/>
      <c r="P6" s="28"/>
      <c r="Q6" s="28"/>
      <c r="R6" s="28"/>
      <c r="S6" s="28"/>
      <c r="T6" s="28"/>
      <c r="U6" s="28"/>
      <c r="V6" s="174"/>
      <c r="W6" s="174"/>
      <c r="X6" s="174"/>
      <c r="Y6" s="174"/>
      <c r="Z6" s="174"/>
      <c r="AA6" s="174"/>
      <c r="AB6" s="174"/>
      <c r="AC6" s="174"/>
      <c r="AD6" s="174"/>
      <c r="AE6" s="174"/>
      <c r="AF6" s="174"/>
      <c r="AG6" s="35"/>
      <c r="AH6" s="96"/>
      <c r="AI6" s="96"/>
      <c r="AJ6" s="96"/>
      <c r="AK6" s="96"/>
      <c r="AL6" s="98" t="s">
        <v>377</v>
      </c>
      <c r="AM6" s="98" t="s">
        <v>377</v>
      </c>
      <c r="AN6" s="98" t="s">
        <v>377</v>
      </c>
      <c r="AO6" s="98" t="s">
        <v>377</v>
      </c>
      <c r="AP6" s="98" t="s">
        <v>377</v>
      </c>
      <c r="AQ6" s="98" t="s">
        <v>377</v>
      </c>
      <c r="AR6" s="98" t="s">
        <v>377</v>
      </c>
      <c r="AS6" s="98" t="s">
        <v>377</v>
      </c>
      <c r="AT6" s="96"/>
      <c r="AU6" s="96"/>
      <c r="AV6" s="96"/>
      <c r="AW6" s="96"/>
      <c r="AX6" s="96"/>
      <c r="AY6" s="96"/>
      <c r="AZ6" s="96"/>
      <c r="BA6" s="96"/>
      <c r="BB6" s="96"/>
      <c r="BC6" s="96"/>
      <c r="BD6" s="96"/>
    </row>
    <row r="7" spans="1:56" x14ac:dyDescent="0.2">
      <c r="A7" s="97"/>
      <c r="B7" s="97"/>
      <c r="C7" s="97"/>
      <c r="D7" s="154"/>
      <c r="E7" s="97"/>
      <c r="F7" s="155"/>
      <c r="G7" s="155"/>
      <c r="H7" s="96"/>
      <c r="I7" s="96"/>
      <c r="J7" s="96" t="s">
        <v>305</v>
      </c>
      <c r="K7" s="96"/>
      <c r="L7" s="96"/>
      <c r="M7" s="96"/>
      <c r="N7" s="96"/>
      <c r="O7" s="96"/>
      <c r="P7" s="96"/>
      <c r="Q7" s="96"/>
      <c r="R7" s="96"/>
      <c r="S7" s="96"/>
      <c r="T7" s="96"/>
      <c r="U7" s="96"/>
      <c r="V7" s="96"/>
      <c r="W7" s="36" t="s">
        <v>271</v>
      </c>
      <c r="X7" s="36" t="s">
        <v>271</v>
      </c>
      <c r="Y7" s="36" t="s">
        <v>271</v>
      </c>
      <c r="Z7" s="36" t="s">
        <v>271</v>
      </c>
      <c r="AA7" s="36" t="s">
        <v>378</v>
      </c>
      <c r="AB7" s="36" t="s">
        <v>378</v>
      </c>
      <c r="AC7" s="36" t="s">
        <v>378</v>
      </c>
      <c r="AD7" s="36" t="s">
        <v>378</v>
      </c>
      <c r="AE7" s="96"/>
      <c r="AF7" s="96"/>
      <c r="AG7" s="96"/>
      <c r="AH7" s="96"/>
      <c r="AI7" s="96"/>
      <c r="AJ7" s="96"/>
      <c r="AK7" s="96"/>
      <c r="AL7" s="98" t="s">
        <v>379</v>
      </c>
      <c r="AM7" s="98" t="s">
        <v>379</v>
      </c>
      <c r="AN7" s="98" t="s">
        <v>379</v>
      </c>
      <c r="AO7" s="98" t="s">
        <v>379</v>
      </c>
      <c r="AP7" s="98" t="s">
        <v>379</v>
      </c>
      <c r="AQ7" s="98" t="s">
        <v>379</v>
      </c>
      <c r="AR7" s="98" t="s">
        <v>379</v>
      </c>
      <c r="AS7" s="98" t="s">
        <v>379</v>
      </c>
      <c r="AT7" s="96"/>
      <c r="AU7" s="96"/>
      <c r="AV7" s="96"/>
      <c r="AW7" s="96"/>
      <c r="AX7" s="96"/>
      <c r="AY7" s="96"/>
      <c r="AZ7" s="96"/>
      <c r="BA7" s="96"/>
      <c r="BB7" s="96"/>
      <c r="BC7" s="96"/>
      <c r="BD7" s="96"/>
    </row>
    <row r="8" spans="1:56" x14ac:dyDescent="0.2">
      <c r="A8" s="97"/>
      <c r="B8" s="97"/>
      <c r="C8" s="97"/>
      <c r="D8" s="154"/>
      <c r="E8" s="153"/>
      <c r="F8" s="169" t="s">
        <v>380</v>
      </c>
      <c r="G8" s="169" t="s">
        <v>381</v>
      </c>
      <c r="H8" s="98"/>
      <c r="I8" s="98"/>
      <c r="J8" s="98"/>
      <c r="K8" s="98"/>
      <c r="L8" s="98" t="s">
        <v>360</v>
      </c>
      <c r="M8" s="98" t="s">
        <v>270</v>
      </c>
      <c r="N8" s="98" t="s">
        <v>271</v>
      </c>
      <c r="O8" s="98" t="s">
        <v>271</v>
      </c>
      <c r="P8" s="98" t="s">
        <v>271</v>
      </c>
      <c r="Q8" s="98" t="s">
        <v>271</v>
      </c>
      <c r="R8" s="98" t="s">
        <v>271</v>
      </c>
      <c r="S8" s="98" t="s">
        <v>271</v>
      </c>
      <c r="T8" s="98" t="s">
        <v>271</v>
      </c>
      <c r="U8" s="98" t="s">
        <v>271</v>
      </c>
      <c r="V8" s="98"/>
      <c r="W8" s="36" t="s">
        <v>336</v>
      </c>
      <c r="X8" s="36" t="s">
        <v>336</v>
      </c>
      <c r="Y8" s="36" t="s">
        <v>336</v>
      </c>
      <c r="Z8" s="36" t="s">
        <v>336</v>
      </c>
      <c r="AA8" s="36" t="s">
        <v>336</v>
      </c>
      <c r="AB8" s="36" t="s">
        <v>336</v>
      </c>
      <c r="AC8" s="36" t="s">
        <v>336</v>
      </c>
      <c r="AD8" s="36" t="s">
        <v>336</v>
      </c>
      <c r="AE8" s="98"/>
      <c r="AF8" s="96"/>
      <c r="AG8" s="96"/>
      <c r="AH8" s="98" t="s">
        <v>380</v>
      </c>
      <c r="AI8" s="98" t="s">
        <v>382</v>
      </c>
      <c r="AJ8" s="96"/>
      <c r="AK8" s="96"/>
      <c r="AL8" s="98" t="s">
        <v>371</v>
      </c>
      <c r="AM8" s="98" t="s">
        <v>371</v>
      </c>
      <c r="AN8" s="98" t="s">
        <v>371</v>
      </c>
      <c r="AO8" s="98" t="s">
        <v>371</v>
      </c>
      <c r="AP8" s="98" t="s">
        <v>372</v>
      </c>
      <c r="AQ8" s="98" t="s">
        <v>372</v>
      </c>
      <c r="AR8" s="98" t="s">
        <v>372</v>
      </c>
      <c r="AS8" s="98" t="s">
        <v>372</v>
      </c>
      <c r="AT8" s="96"/>
      <c r="AU8" s="96"/>
      <c r="AV8" s="96"/>
      <c r="AW8" s="96"/>
      <c r="AX8" s="96"/>
      <c r="AY8" s="96"/>
      <c r="AZ8" s="96"/>
      <c r="BA8" s="96"/>
      <c r="BB8" s="96"/>
      <c r="BC8" s="96"/>
      <c r="BD8" s="96"/>
    </row>
    <row r="9" spans="1:56" x14ac:dyDescent="0.2">
      <c r="A9" s="96"/>
      <c r="B9" s="96"/>
      <c r="C9" s="96"/>
      <c r="D9" s="96"/>
      <c r="E9" s="98"/>
      <c r="F9" s="98" t="s">
        <v>363</v>
      </c>
      <c r="G9" s="98" t="s">
        <v>348</v>
      </c>
      <c r="H9" s="98"/>
      <c r="I9" s="98" t="s">
        <v>311</v>
      </c>
      <c r="J9" s="98" t="s">
        <v>383</v>
      </c>
      <c r="K9" s="98" t="s">
        <v>361</v>
      </c>
      <c r="L9" s="98" t="s">
        <v>384</v>
      </c>
      <c r="M9" s="98" t="s">
        <v>271</v>
      </c>
      <c r="N9" s="98" t="s">
        <v>274</v>
      </c>
      <c r="O9" s="98" t="s">
        <v>267</v>
      </c>
      <c r="P9" s="98" t="s">
        <v>274</v>
      </c>
      <c r="Q9" s="98" t="s">
        <v>267</v>
      </c>
      <c r="R9" s="98" t="s">
        <v>274</v>
      </c>
      <c r="S9" s="98" t="s">
        <v>267</v>
      </c>
      <c r="T9" s="98" t="s">
        <v>274</v>
      </c>
      <c r="U9" s="98" t="s">
        <v>267</v>
      </c>
      <c r="V9" s="98" t="s">
        <v>365</v>
      </c>
      <c r="W9" s="36" t="s">
        <v>267</v>
      </c>
      <c r="X9" s="36" t="s">
        <v>267</v>
      </c>
      <c r="Y9" s="36" t="s">
        <v>267</v>
      </c>
      <c r="Z9" s="36" t="s">
        <v>267</v>
      </c>
      <c r="AA9" s="36" t="s">
        <v>267</v>
      </c>
      <c r="AB9" s="36" t="s">
        <v>267</v>
      </c>
      <c r="AC9" s="36" t="s">
        <v>267</v>
      </c>
      <c r="AD9" s="36" t="s">
        <v>267</v>
      </c>
      <c r="AE9" s="98" t="s">
        <v>271</v>
      </c>
      <c r="AF9" s="98" t="s">
        <v>378</v>
      </c>
      <c r="AG9" s="98" t="s">
        <v>385</v>
      </c>
      <c r="AH9" s="98" t="s">
        <v>386</v>
      </c>
      <c r="AI9" s="98" t="s">
        <v>387</v>
      </c>
      <c r="AJ9" s="98" t="s">
        <v>316</v>
      </c>
      <c r="AK9" s="96"/>
      <c r="AL9" s="98" t="s">
        <v>388</v>
      </c>
      <c r="AM9" s="98" t="s">
        <v>388</v>
      </c>
      <c r="AN9" s="98" t="s">
        <v>388</v>
      </c>
      <c r="AO9" s="98" t="s">
        <v>388</v>
      </c>
      <c r="AP9" s="98" t="s">
        <v>388</v>
      </c>
      <c r="AQ9" s="98" t="s">
        <v>388</v>
      </c>
      <c r="AR9" s="98" t="s">
        <v>388</v>
      </c>
      <c r="AS9" s="98" t="s">
        <v>388</v>
      </c>
      <c r="AT9" s="96"/>
      <c r="AU9" s="96"/>
      <c r="AV9" s="96"/>
      <c r="AW9" s="96"/>
      <c r="AX9" s="96"/>
      <c r="AY9" s="96"/>
      <c r="AZ9" s="96"/>
      <c r="BA9" s="96"/>
      <c r="BB9" s="96"/>
      <c r="BC9" s="96"/>
      <c r="BD9" s="96"/>
    </row>
    <row r="10" spans="1:56" x14ac:dyDescent="0.2">
      <c r="A10" s="96" t="s">
        <v>318</v>
      </c>
      <c r="B10" s="96" t="s">
        <v>272</v>
      </c>
      <c r="C10" s="96" t="s">
        <v>273</v>
      </c>
      <c r="D10" s="96" t="s">
        <v>264</v>
      </c>
      <c r="E10" s="98" t="s">
        <v>296</v>
      </c>
      <c r="F10" s="98" t="s">
        <v>320</v>
      </c>
      <c r="G10" s="98" t="s">
        <v>389</v>
      </c>
      <c r="H10" s="98" t="s">
        <v>319</v>
      </c>
      <c r="I10" s="98" t="s">
        <v>320</v>
      </c>
      <c r="J10" s="98" t="s">
        <v>369</v>
      </c>
      <c r="K10" s="98" t="s">
        <v>369</v>
      </c>
      <c r="L10" s="98" t="s">
        <v>390</v>
      </c>
      <c r="M10" s="98" t="s">
        <v>274</v>
      </c>
      <c r="N10" s="98" t="s">
        <v>391</v>
      </c>
      <c r="O10" s="98" t="s">
        <v>391</v>
      </c>
      <c r="P10" s="98" t="s">
        <v>392</v>
      </c>
      <c r="Q10" s="98" t="s">
        <v>392</v>
      </c>
      <c r="R10" s="98" t="s">
        <v>717</v>
      </c>
      <c r="S10" s="98" t="s">
        <v>717</v>
      </c>
      <c r="T10" s="98" t="s">
        <v>718</v>
      </c>
      <c r="U10" s="98" t="s">
        <v>718</v>
      </c>
      <c r="V10" s="98" t="s">
        <v>370</v>
      </c>
      <c r="W10" s="36" t="s">
        <v>391</v>
      </c>
      <c r="X10" s="36" t="s">
        <v>392</v>
      </c>
      <c r="Y10" s="36" t="s">
        <v>717</v>
      </c>
      <c r="Z10" s="36" t="s">
        <v>718</v>
      </c>
      <c r="AA10" s="36" t="s">
        <v>718</v>
      </c>
      <c r="AB10" s="36" t="s">
        <v>717</v>
      </c>
      <c r="AC10" s="36" t="s">
        <v>392</v>
      </c>
      <c r="AD10" s="36" t="s">
        <v>391</v>
      </c>
      <c r="AE10" s="98" t="s">
        <v>320</v>
      </c>
      <c r="AF10" s="98" t="s">
        <v>320</v>
      </c>
      <c r="AG10" s="98" t="s">
        <v>320</v>
      </c>
      <c r="AH10" s="98" t="s">
        <v>320</v>
      </c>
      <c r="AI10" s="98" t="s">
        <v>320</v>
      </c>
      <c r="AJ10" s="98" t="s">
        <v>324</v>
      </c>
      <c r="AK10" s="98" t="s">
        <v>326</v>
      </c>
      <c r="AL10" s="98" t="s">
        <v>391</v>
      </c>
      <c r="AM10" s="98" t="s">
        <v>392</v>
      </c>
      <c r="AN10" s="98" t="s">
        <v>717</v>
      </c>
      <c r="AO10" s="98" t="s">
        <v>718</v>
      </c>
      <c r="AP10" s="98" t="s">
        <v>718</v>
      </c>
      <c r="AQ10" s="98" t="s">
        <v>717</v>
      </c>
      <c r="AR10" s="98" t="s">
        <v>392</v>
      </c>
      <c r="AS10" s="98" t="s">
        <v>391</v>
      </c>
      <c r="AT10" s="96"/>
      <c r="AU10" s="96"/>
      <c r="AV10" s="96"/>
      <c r="AW10" s="96"/>
      <c r="AX10" s="96"/>
      <c r="AY10" s="96"/>
      <c r="AZ10" s="96"/>
      <c r="BA10" s="96"/>
      <c r="BB10" s="96"/>
      <c r="BC10" s="96"/>
      <c r="BD10" s="96"/>
    </row>
    <row r="11" spans="1:56" x14ac:dyDescent="0.2">
      <c r="A11" s="96"/>
      <c r="B11" s="96"/>
      <c r="C11" s="96"/>
      <c r="D11" s="96"/>
      <c r="E11" s="98" t="s">
        <v>328</v>
      </c>
      <c r="F11" s="98" t="s">
        <v>373</v>
      </c>
      <c r="G11" s="98"/>
      <c r="H11" s="98" t="s">
        <v>329</v>
      </c>
      <c r="I11" s="98" t="s">
        <v>393</v>
      </c>
      <c r="J11" s="98" t="s">
        <v>328</v>
      </c>
      <c r="K11" s="98" t="s">
        <v>328</v>
      </c>
      <c r="L11" s="98"/>
      <c r="M11" s="98" t="s">
        <v>332</v>
      </c>
      <c r="N11" s="98" t="s">
        <v>332</v>
      </c>
      <c r="O11" s="98" t="s">
        <v>275</v>
      </c>
      <c r="P11" s="98" t="s">
        <v>332</v>
      </c>
      <c r="Q11" s="98" t="s">
        <v>275</v>
      </c>
      <c r="R11" s="98" t="s">
        <v>332</v>
      </c>
      <c r="S11" s="98" t="s">
        <v>275</v>
      </c>
      <c r="T11" s="98" t="s">
        <v>332</v>
      </c>
      <c r="U11" s="98" t="s">
        <v>275</v>
      </c>
      <c r="V11" s="98" t="s">
        <v>275</v>
      </c>
      <c r="W11" s="36" t="s">
        <v>275</v>
      </c>
      <c r="X11" s="36" t="s">
        <v>275</v>
      </c>
      <c r="Y11" s="36" t="s">
        <v>275</v>
      </c>
      <c r="Z11" s="36" t="s">
        <v>275</v>
      </c>
      <c r="AA11" s="36" t="s">
        <v>275</v>
      </c>
      <c r="AB11" s="36" t="s">
        <v>275</v>
      </c>
      <c r="AC11" s="36" t="s">
        <v>275</v>
      </c>
      <c r="AD11" s="36" t="s">
        <v>275</v>
      </c>
      <c r="AE11" s="98" t="s">
        <v>373</v>
      </c>
      <c r="AF11" s="98" t="s">
        <v>373</v>
      </c>
      <c r="AG11" s="98" t="s">
        <v>373</v>
      </c>
      <c r="AH11" s="98" t="s">
        <v>373</v>
      </c>
      <c r="AI11" s="98" t="s">
        <v>373</v>
      </c>
      <c r="AJ11" s="98" t="s">
        <v>333</v>
      </c>
      <c r="AK11" s="98"/>
      <c r="AL11" s="175" t="s">
        <v>719</v>
      </c>
      <c r="AM11" s="175" t="s">
        <v>719</v>
      </c>
      <c r="AN11" s="175" t="s">
        <v>719</v>
      </c>
      <c r="AO11" s="175" t="s">
        <v>719</v>
      </c>
      <c r="AP11" s="175" t="s">
        <v>720</v>
      </c>
      <c r="AQ11" s="175" t="s">
        <v>719</v>
      </c>
      <c r="AR11" s="175" t="s">
        <v>719</v>
      </c>
      <c r="AS11" s="175" t="s">
        <v>719</v>
      </c>
      <c r="AT11" s="96"/>
      <c r="AU11" s="96"/>
      <c r="AV11" s="96"/>
      <c r="AW11" s="96"/>
      <c r="AX11" s="96"/>
      <c r="AY11" s="96"/>
      <c r="AZ11" s="96"/>
      <c r="BA11" s="96"/>
      <c r="BB11" s="96"/>
      <c r="BC11" s="96"/>
      <c r="BD11" s="96"/>
    </row>
    <row r="12" spans="1:56" ht="18.75" customHeight="1" x14ac:dyDescent="0.2">
      <c r="A12" s="81"/>
      <c r="B12" s="81"/>
      <c r="C12" s="96"/>
      <c r="D12" s="96"/>
      <c r="E12" s="96"/>
      <c r="F12" s="96"/>
      <c r="G12" s="96"/>
      <c r="H12" s="96"/>
      <c r="I12" s="96"/>
      <c r="J12" s="96"/>
      <c r="K12" s="96"/>
      <c r="L12" s="96"/>
      <c r="M12" s="96"/>
      <c r="N12" s="96"/>
      <c r="O12" s="96"/>
      <c r="P12" s="96"/>
      <c r="Q12" s="96"/>
      <c r="R12" s="96"/>
      <c r="S12" s="96"/>
      <c r="T12" s="96"/>
      <c r="U12" s="96"/>
      <c r="V12" s="96"/>
      <c r="W12" s="10"/>
      <c r="X12" s="10"/>
      <c r="Y12" s="10"/>
      <c r="Z12" s="10"/>
      <c r="AA12" s="10"/>
      <c r="AB12" s="10"/>
      <c r="AC12" s="10"/>
      <c r="AD12" s="10"/>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row>
    <row r="13" spans="1:56" x14ac:dyDescent="0.2">
      <c r="A13" s="97" t="str">
        <f>'4...Earthwrk'!B71</f>
        <v>Haul waste material</v>
      </c>
      <c r="B13" s="157" t="str">
        <f>'4...Earthwrk'!C71</f>
        <v>Front RP 9350'</v>
      </c>
      <c r="C13" s="157" t="str">
        <f>'4...Earthwrk'!D71</f>
        <v>Pit Repository Ramp 8770' to 8520'</v>
      </c>
      <c r="D13" s="100">
        <f>'3...Material'!G70</f>
        <v>793</v>
      </c>
      <c r="E13" s="28">
        <f>'4...Earthwrk'!G71</f>
        <v>2437000</v>
      </c>
      <c r="F13" s="176">
        <f t="shared" ref="F13:F15" si="0">SUM(AE13:AI13)</f>
        <v>19.742899977487248</v>
      </c>
      <c r="G13" s="150">
        <v>7</v>
      </c>
      <c r="H13" s="28">
        <f>AJ13*L13*'8...Loader'!D13*G13/F13*AK13</f>
        <v>1826.8848062406339</v>
      </c>
      <c r="I13" s="29">
        <f>IF(E13/H13&lt;'8...Loader'!$G13,'8...Loader'!$G13,E13/H13)</f>
        <v>1352.9240241837319</v>
      </c>
      <c r="J13" s="156"/>
      <c r="K13" s="156">
        <v>130</v>
      </c>
      <c r="L13" s="29">
        <f>IF(TRUNC(J13/'8...Loader'!D13)&lt;TRUNC(K13/'8...Loader'!D13),TRUNC(K13/'8...Loader'!D13),TRUNC(J13/'8...Loader'!D13))</f>
        <v>3</v>
      </c>
      <c r="M13" s="150">
        <f>'3...Material'!E70</f>
        <v>20720</v>
      </c>
      <c r="N13" s="397">
        <v>800</v>
      </c>
      <c r="O13" s="398">
        <v>0</v>
      </c>
      <c r="P13" s="397">
        <v>6900</v>
      </c>
      <c r="Q13" s="399">
        <v>-0.1</v>
      </c>
      <c r="R13" s="397">
        <v>2030</v>
      </c>
      <c r="S13" s="398">
        <v>-0.1</v>
      </c>
      <c r="T13" s="397">
        <v>630</v>
      </c>
      <c r="U13" s="398">
        <v>0</v>
      </c>
      <c r="V13" s="177">
        <v>0.04</v>
      </c>
      <c r="W13" s="37">
        <f>O13+V13</f>
        <v>0.04</v>
      </c>
      <c r="X13" s="37">
        <f>Q13+V13</f>
        <v>-6.0000000000000005E-2</v>
      </c>
      <c r="Y13" s="37">
        <f>S13+V13</f>
        <v>-6.0000000000000005E-2</v>
      </c>
      <c r="Z13" s="37">
        <f>U13+V13</f>
        <v>0.04</v>
      </c>
      <c r="AA13" s="37">
        <f>V13-U13</f>
        <v>0.04</v>
      </c>
      <c r="AB13" s="37">
        <f>V13-S13</f>
        <v>0.14000000000000001</v>
      </c>
      <c r="AC13" s="37">
        <f>V13-Q13</f>
        <v>0.14000000000000001</v>
      </c>
      <c r="AD13" s="37">
        <f>V13-O13</f>
        <v>0.04</v>
      </c>
      <c r="AE13" s="156">
        <f>(N13*AL13)/1000+(P13*AM13)/1000+(R13*AN13)/1000+(T13*AO13)/1000</f>
        <v>5.9662000000000006</v>
      </c>
      <c r="AF13" s="156">
        <f t="shared" ref="AF13:AF44" si="1">(T13*AP13)/1000+(R13*AQ13)/1000+(P13*AR13)/1000+(N13*AS13)/1000</f>
        <v>7.9161999999999999</v>
      </c>
      <c r="AG13" s="156">
        <f>'8...Loader'!E13*L13</f>
        <v>2.8604999774872466</v>
      </c>
      <c r="AH13" s="170">
        <v>1.5</v>
      </c>
      <c r="AI13" s="170">
        <v>1.5</v>
      </c>
      <c r="AJ13" s="158">
        <v>54</v>
      </c>
      <c r="AK13" s="154">
        <v>0.93</v>
      </c>
      <c r="AL13" s="170">
        <v>0.8</v>
      </c>
      <c r="AM13" s="170">
        <v>0.54</v>
      </c>
      <c r="AN13" s="170">
        <v>0.54</v>
      </c>
      <c r="AO13" s="170">
        <v>0.8</v>
      </c>
      <c r="AP13" s="170">
        <v>0.54</v>
      </c>
      <c r="AQ13" s="170">
        <v>0.8</v>
      </c>
      <c r="AR13" s="170">
        <v>0.8</v>
      </c>
      <c r="AS13" s="170">
        <v>0.54</v>
      </c>
      <c r="AT13" s="96"/>
      <c r="AU13" s="96"/>
      <c r="AV13" s="96"/>
      <c r="AW13" s="96"/>
      <c r="AX13" s="96"/>
      <c r="AY13" s="96"/>
      <c r="AZ13" s="96"/>
      <c r="BA13" s="96"/>
      <c r="BB13" s="96"/>
      <c r="BC13" s="96"/>
      <c r="BD13" s="96"/>
    </row>
    <row r="14" spans="1:56" x14ac:dyDescent="0.2">
      <c r="A14" s="97" t="str">
        <f>'4...Earthwrk'!B72</f>
        <v>Haul waste material</v>
      </c>
      <c r="B14" s="157" t="str">
        <f>'4...Earthwrk'!C72</f>
        <v>Front RP 8850' to 8950'</v>
      </c>
      <c r="C14" s="157" t="str">
        <f>'4...Earthwrk'!D72</f>
        <v>Pit Repository 8870 to 8900</v>
      </c>
      <c r="D14" s="100">
        <f>'3...Material'!G71</f>
        <v>793</v>
      </c>
      <c r="E14" s="28">
        <f>'4...Earthwrk'!G72</f>
        <v>5218000</v>
      </c>
      <c r="F14" s="176">
        <f t="shared" si="0"/>
        <v>19.574499977487246</v>
      </c>
      <c r="G14" s="150">
        <v>7</v>
      </c>
      <c r="H14" s="28">
        <f>AJ14*L14*'8...Loader'!D14*G14/F14*AK14</f>
        <v>1842.6015500514466</v>
      </c>
      <c r="I14" s="29">
        <f>IF(E14/H14&lt;'8...Loader'!$G14,'8...Loader'!$G14,E14/H14)</f>
        <v>2896.8229619165832</v>
      </c>
      <c r="J14" s="156"/>
      <c r="K14" s="156">
        <v>130</v>
      </c>
      <c r="L14" s="29">
        <f>IF(TRUNC(J14/'8...Loader'!D14)&lt;TRUNC(K14/'8...Loader'!D14),TRUNC(K14/'8...Loader'!D14),TRUNC(J14/'8...Loader'!D14))</f>
        <v>3</v>
      </c>
      <c r="M14" s="150">
        <f>'3...Material'!E71</f>
        <v>19620</v>
      </c>
      <c r="N14" s="397">
        <v>4700</v>
      </c>
      <c r="O14" s="398">
        <v>0</v>
      </c>
      <c r="P14" s="397">
        <v>900</v>
      </c>
      <c r="Q14" s="399">
        <v>-0.1</v>
      </c>
      <c r="R14" s="397">
        <v>1320</v>
      </c>
      <c r="S14" s="398">
        <v>0.1</v>
      </c>
      <c r="T14" s="397">
        <v>2890</v>
      </c>
      <c r="U14" s="398">
        <v>0</v>
      </c>
      <c r="V14" s="177">
        <v>0.04</v>
      </c>
      <c r="W14" s="37">
        <f t="shared" ref="W14:W44" si="2">O14+V14</f>
        <v>0.04</v>
      </c>
      <c r="X14" s="37">
        <f t="shared" ref="X14:X44" si="3">Q14+V14</f>
        <v>-6.0000000000000005E-2</v>
      </c>
      <c r="Y14" s="37">
        <f t="shared" ref="Y14:Y44" si="4">S14+V14</f>
        <v>0.14000000000000001</v>
      </c>
      <c r="Z14" s="37">
        <f t="shared" ref="Z14:Z44" si="5">U14+V14</f>
        <v>0.04</v>
      </c>
      <c r="AA14" s="37">
        <f t="shared" ref="AA14:AA44" si="6">V14-U14</f>
        <v>0.04</v>
      </c>
      <c r="AB14" s="37">
        <f t="shared" ref="AB14:AB44" si="7">V14-S14</f>
        <v>-6.0000000000000005E-2</v>
      </c>
      <c r="AC14" s="37">
        <f t="shared" ref="AC14:AC44" si="8">V14-Q14</f>
        <v>0.14000000000000001</v>
      </c>
      <c r="AD14" s="37">
        <f t="shared" ref="AD14:AD44" si="9">V14-O14</f>
        <v>0.04</v>
      </c>
      <c r="AE14" s="156">
        <f t="shared" ref="AE14:AE44" si="10">(N14*AL14)/1000+(P14*AM14)/1000+(R14*AN14)/1000+(T14*AO14)/1000</f>
        <v>8.1826000000000008</v>
      </c>
      <c r="AF14" s="156">
        <f t="shared" si="1"/>
        <v>5.5313999999999997</v>
      </c>
      <c r="AG14" s="156">
        <f>'8...Loader'!E14*L14</f>
        <v>2.8604999774872466</v>
      </c>
      <c r="AH14" s="170">
        <v>1.5</v>
      </c>
      <c r="AI14" s="170">
        <v>1.5</v>
      </c>
      <c r="AJ14" s="158">
        <v>54</v>
      </c>
      <c r="AK14" s="154">
        <v>0.93</v>
      </c>
      <c r="AL14" s="170">
        <v>0.8</v>
      </c>
      <c r="AM14" s="170">
        <v>0.54</v>
      </c>
      <c r="AN14" s="170">
        <v>1.8</v>
      </c>
      <c r="AO14" s="170">
        <v>0.54</v>
      </c>
      <c r="AP14" s="170">
        <v>0.54</v>
      </c>
      <c r="AQ14" s="170">
        <v>0.54</v>
      </c>
      <c r="AR14" s="170">
        <v>0.8</v>
      </c>
      <c r="AS14" s="170">
        <v>0.54</v>
      </c>
      <c r="AT14" s="96"/>
      <c r="AU14" s="96"/>
      <c r="AV14" s="96"/>
      <c r="AW14" s="96"/>
      <c r="AX14" s="96"/>
      <c r="AY14" s="96"/>
      <c r="AZ14" s="96"/>
      <c r="BA14" s="96"/>
      <c r="BB14" s="96"/>
      <c r="BC14" s="96"/>
      <c r="BD14" s="96"/>
    </row>
    <row r="15" spans="1:56" x14ac:dyDescent="0.2">
      <c r="A15" s="97" t="str">
        <f>'4...Earthwrk'!B73</f>
        <v>Haul waste material</v>
      </c>
      <c r="B15" s="157" t="str">
        <f>'4...Earthwrk'!C73</f>
        <v>Front RP 8950' to 9050'</v>
      </c>
      <c r="C15" s="157" t="str">
        <f>'4...Earthwrk'!D73</f>
        <v>Pit Repository 8870 to 8900</v>
      </c>
      <c r="D15" s="100">
        <f>'3...Material'!G72</f>
        <v>793</v>
      </c>
      <c r="E15" s="28">
        <f>'4...Earthwrk'!G73</f>
        <v>1348000</v>
      </c>
      <c r="F15" s="176">
        <f t="shared" si="0"/>
        <v>19.16129997748725</v>
      </c>
      <c r="G15" s="150">
        <v>7</v>
      </c>
      <c r="H15" s="28">
        <f>AJ15*L15*'8...Loader'!D15*G15/F15*AK15</f>
        <v>1882.3359606277529</v>
      </c>
      <c r="I15" s="29">
        <f>IF(E15/H15&lt;'8...Loader'!$G15,'8...Loader'!$G15,E15/H15)</f>
        <v>748.35518448899074</v>
      </c>
      <c r="J15" s="156"/>
      <c r="K15" s="156">
        <v>130</v>
      </c>
      <c r="L15" s="29">
        <f>IF(TRUNC(J15/'8...Loader'!D15)&lt;TRUNC(K15/'8...Loader'!D15),TRUNC(K15/'8...Loader'!D15),TRUNC(J15/'8...Loader'!D15))</f>
        <v>3</v>
      </c>
      <c r="M15" s="150">
        <f>'3...Material'!E72</f>
        <v>18620</v>
      </c>
      <c r="N15" s="397">
        <v>3300</v>
      </c>
      <c r="O15" s="398">
        <v>0</v>
      </c>
      <c r="P15" s="397">
        <v>1800</v>
      </c>
      <c r="Q15" s="399">
        <v>-0.1</v>
      </c>
      <c r="R15" s="397">
        <v>1320</v>
      </c>
      <c r="S15" s="398">
        <v>0.1</v>
      </c>
      <c r="T15" s="397">
        <v>2890</v>
      </c>
      <c r="U15" s="398">
        <v>0</v>
      </c>
      <c r="V15" s="177">
        <v>0.04</v>
      </c>
      <c r="W15" s="37">
        <f t="shared" si="2"/>
        <v>0.04</v>
      </c>
      <c r="X15" s="37">
        <f t="shared" si="3"/>
        <v>-6.0000000000000005E-2</v>
      </c>
      <c r="Y15" s="37">
        <f t="shared" si="4"/>
        <v>0.14000000000000001</v>
      </c>
      <c r="Z15" s="37">
        <f t="shared" si="5"/>
        <v>0.04</v>
      </c>
      <c r="AA15" s="37">
        <f t="shared" si="6"/>
        <v>0.04</v>
      </c>
      <c r="AB15" s="37">
        <f t="shared" si="7"/>
        <v>-6.0000000000000005E-2</v>
      </c>
      <c r="AC15" s="37">
        <f t="shared" si="8"/>
        <v>0.14000000000000001</v>
      </c>
      <c r="AD15" s="37">
        <f t="shared" si="9"/>
        <v>0.04</v>
      </c>
      <c r="AE15" s="156">
        <f t="shared" si="10"/>
        <v>7.7334000000000005</v>
      </c>
      <c r="AF15" s="156">
        <f t="shared" si="1"/>
        <v>5.567400000000001</v>
      </c>
      <c r="AG15" s="156">
        <f>'8...Loader'!E15*L15</f>
        <v>2.8604999774872466</v>
      </c>
      <c r="AH15" s="170">
        <v>1.5</v>
      </c>
      <c r="AI15" s="170">
        <v>1.5</v>
      </c>
      <c r="AJ15" s="158">
        <v>54</v>
      </c>
      <c r="AK15" s="154">
        <v>0.93</v>
      </c>
      <c r="AL15" s="170">
        <v>0.84</v>
      </c>
      <c r="AM15" s="170">
        <v>0.54</v>
      </c>
      <c r="AN15" s="170">
        <v>1.84</v>
      </c>
      <c r="AO15" s="170">
        <v>0.54</v>
      </c>
      <c r="AP15" s="170">
        <v>0.54</v>
      </c>
      <c r="AQ15" s="170">
        <v>0.54</v>
      </c>
      <c r="AR15" s="170">
        <v>0.84</v>
      </c>
      <c r="AS15" s="170">
        <v>0.54</v>
      </c>
      <c r="AT15" s="96"/>
      <c r="AU15" s="96"/>
      <c r="AV15" s="96"/>
      <c r="AW15" s="96"/>
      <c r="AX15" s="96"/>
      <c r="AY15" s="96"/>
      <c r="AZ15" s="96"/>
      <c r="BA15" s="96"/>
      <c r="BB15" s="96"/>
      <c r="BC15" s="96"/>
      <c r="BD15" s="96"/>
    </row>
    <row r="16" spans="1:56" x14ac:dyDescent="0.2">
      <c r="A16" s="97" t="str">
        <f>'4...Earthwrk'!B74</f>
        <v>Haul waste material</v>
      </c>
      <c r="B16" s="157" t="str">
        <f>'4...Earthwrk'!C74</f>
        <v>Front RP 8750 to 8850</v>
      </c>
      <c r="C16" s="157" t="str">
        <f>'4...Earthwrk'!D74</f>
        <v>Pit Repository 8770 to 8900</v>
      </c>
      <c r="D16" s="100">
        <f>'3...Material'!G73</f>
        <v>793</v>
      </c>
      <c r="E16" s="28">
        <f>'4...Earthwrk'!G74</f>
        <v>3746000</v>
      </c>
      <c r="F16" s="176">
        <f t="shared" ref="F16:F29" si="11">SUM(AE16:AI16)</f>
        <v>19.718999977487247</v>
      </c>
      <c r="G16" s="150">
        <v>7</v>
      </c>
      <c r="H16" s="28">
        <f>AJ16*L16*'8...Loader'!D16*G16/F16*AK16</f>
        <v>1829.0990436217892</v>
      </c>
      <c r="I16" s="29">
        <f>IF(E16/H16&lt;'8...Loader'!$G16,'8...Loader'!$G16,E16/H16)</f>
        <v>2079.6279830087237</v>
      </c>
      <c r="J16" s="156"/>
      <c r="K16" s="156">
        <v>130</v>
      </c>
      <c r="L16" s="29">
        <f>IF(TRUNC(J16/'8...Loader'!D16)&lt;TRUNC(K16/'8...Loader'!D16),TRUNC(K16/'8...Loader'!D16),TRUNC(J16/'8...Loader'!D16))</f>
        <v>3</v>
      </c>
      <c r="M16" s="150">
        <f>'3...Material'!E73</f>
        <v>19820</v>
      </c>
      <c r="N16" s="397">
        <v>5890</v>
      </c>
      <c r="O16" s="398">
        <v>0</v>
      </c>
      <c r="P16" s="397">
        <v>1000</v>
      </c>
      <c r="Q16" s="399">
        <v>-0.1</v>
      </c>
      <c r="R16" s="397">
        <v>1700</v>
      </c>
      <c r="S16" s="398">
        <v>0.01</v>
      </c>
      <c r="T16" s="397">
        <v>1320</v>
      </c>
      <c r="U16" s="398">
        <v>0.1</v>
      </c>
      <c r="V16" s="177">
        <v>0.04</v>
      </c>
      <c r="W16" s="37">
        <f t="shared" si="2"/>
        <v>0.04</v>
      </c>
      <c r="X16" s="37">
        <f t="shared" si="3"/>
        <v>-6.0000000000000005E-2</v>
      </c>
      <c r="Y16" s="37">
        <f t="shared" si="4"/>
        <v>0.05</v>
      </c>
      <c r="Z16" s="37">
        <f t="shared" si="5"/>
        <v>0.14000000000000001</v>
      </c>
      <c r="AA16" s="37">
        <f t="shared" si="6"/>
        <v>-6.0000000000000005E-2</v>
      </c>
      <c r="AB16" s="37">
        <f t="shared" si="7"/>
        <v>0.03</v>
      </c>
      <c r="AC16" s="37">
        <f t="shared" si="8"/>
        <v>0.14000000000000001</v>
      </c>
      <c r="AD16" s="37">
        <f t="shared" si="9"/>
        <v>0.04</v>
      </c>
      <c r="AE16" s="156">
        <f t="shared" si="10"/>
        <v>8.6535000000000011</v>
      </c>
      <c r="AF16" s="156">
        <f t="shared" si="1"/>
        <v>5.2050000000000001</v>
      </c>
      <c r="AG16" s="156">
        <f>'8...Loader'!E16*L16</f>
        <v>2.8604999774872466</v>
      </c>
      <c r="AH16" s="170">
        <v>1.5</v>
      </c>
      <c r="AI16" s="170">
        <v>1.5</v>
      </c>
      <c r="AJ16" s="158">
        <v>54</v>
      </c>
      <c r="AK16" s="154">
        <v>0.93</v>
      </c>
      <c r="AL16" s="170">
        <v>0.75</v>
      </c>
      <c r="AM16" s="170">
        <v>0.5</v>
      </c>
      <c r="AN16" s="170">
        <v>0.8</v>
      </c>
      <c r="AO16" s="170">
        <v>1.8</v>
      </c>
      <c r="AP16" s="170">
        <v>0.5</v>
      </c>
      <c r="AQ16" s="170">
        <v>0.5</v>
      </c>
      <c r="AR16" s="170">
        <v>0.75</v>
      </c>
      <c r="AS16" s="170">
        <v>0.5</v>
      </c>
      <c r="AT16" s="96"/>
      <c r="AU16" s="96"/>
      <c r="AV16" s="96"/>
      <c r="AW16" s="96"/>
      <c r="AX16" s="96"/>
      <c r="AY16" s="96"/>
      <c r="AZ16" s="96"/>
      <c r="BA16" s="96"/>
      <c r="BB16" s="96"/>
      <c r="BC16" s="96"/>
      <c r="BD16" s="96"/>
    </row>
    <row r="17" spans="1:56" x14ac:dyDescent="0.2">
      <c r="A17" s="97" t="str">
        <f>'4...Earthwrk'!B75</f>
        <v>Haul waste material</v>
      </c>
      <c r="B17" s="157" t="str">
        <f>'4...Earthwrk'!C75</f>
        <v>Front RP 8550 to 8650</v>
      </c>
      <c r="C17" s="157" t="str">
        <f>'4...Earthwrk'!D75</f>
        <v>Pit Repository 8900 to 9130</v>
      </c>
      <c r="D17" s="100">
        <f>'3...Material'!G74</f>
        <v>793</v>
      </c>
      <c r="E17" s="28">
        <f>'4...Earthwrk'!G75</f>
        <v>234000</v>
      </c>
      <c r="F17" s="176">
        <f t="shared" si="11"/>
        <v>22.662499977487247</v>
      </c>
      <c r="G17" s="150">
        <v>8</v>
      </c>
      <c r="H17" s="28">
        <f>AJ17*L17*'8...Loader'!D17*G17/F17*AK17</f>
        <v>1818.8891799646203</v>
      </c>
      <c r="I17" s="29">
        <f>IF(E17/H17&lt;'8...Loader'!$G17,'8...Loader'!$G17,E17/H17)</f>
        <v>129.90735398399394</v>
      </c>
      <c r="J17" s="156"/>
      <c r="K17" s="156">
        <v>130</v>
      </c>
      <c r="L17" s="29">
        <f>IF(TRUNC(J17/'8...Loader'!D17)&lt;TRUNC(K17/'8...Loader'!D17),TRUNC(K17/'8...Loader'!D17),TRUNC(J17/'8...Loader'!D17))</f>
        <v>3</v>
      </c>
      <c r="M17" s="150">
        <f>'3...Material'!E74</f>
        <v>23120</v>
      </c>
      <c r="N17" s="397">
        <v>5100</v>
      </c>
      <c r="O17" s="398">
        <v>0</v>
      </c>
      <c r="P17" s="397">
        <v>2320</v>
      </c>
      <c r="Q17" s="399">
        <v>0.1</v>
      </c>
      <c r="R17" s="397">
        <v>1700</v>
      </c>
      <c r="S17" s="398">
        <v>0.01</v>
      </c>
      <c r="T17" s="397">
        <v>2440</v>
      </c>
      <c r="U17" s="398">
        <v>0.06</v>
      </c>
      <c r="V17" s="177">
        <v>0.04</v>
      </c>
      <c r="W17" s="37">
        <f t="shared" si="2"/>
        <v>0.04</v>
      </c>
      <c r="X17" s="37">
        <f t="shared" si="3"/>
        <v>0.14000000000000001</v>
      </c>
      <c r="Y17" s="37">
        <f t="shared" si="4"/>
        <v>0.05</v>
      </c>
      <c r="Z17" s="37">
        <f t="shared" si="5"/>
        <v>0.1</v>
      </c>
      <c r="AA17" s="37">
        <f t="shared" si="6"/>
        <v>-1.9999999999999997E-2</v>
      </c>
      <c r="AB17" s="37">
        <f t="shared" si="7"/>
        <v>0.03</v>
      </c>
      <c r="AC17" s="37">
        <f t="shared" si="8"/>
        <v>-6.0000000000000005E-2</v>
      </c>
      <c r="AD17" s="37">
        <f t="shared" si="9"/>
        <v>0.04</v>
      </c>
      <c r="AE17" s="156">
        <f t="shared" si="10"/>
        <v>11.6</v>
      </c>
      <c r="AF17" s="156">
        <f t="shared" si="1"/>
        <v>5.202</v>
      </c>
      <c r="AG17" s="156">
        <f>'8...Loader'!E17*L17</f>
        <v>2.8604999774872466</v>
      </c>
      <c r="AH17" s="170">
        <v>1.5</v>
      </c>
      <c r="AI17" s="170">
        <v>1.5</v>
      </c>
      <c r="AJ17" s="158">
        <v>54</v>
      </c>
      <c r="AK17" s="154">
        <v>0.93</v>
      </c>
      <c r="AL17" s="170">
        <v>0.75</v>
      </c>
      <c r="AM17" s="170">
        <v>1.75</v>
      </c>
      <c r="AN17" s="170">
        <v>0.75</v>
      </c>
      <c r="AO17" s="170">
        <v>1</v>
      </c>
      <c r="AP17" s="170">
        <v>0.45</v>
      </c>
      <c r="AQ17" s="170">
        <v>0.45</v>
      </c>
      <c r="AR17" s="170">
        <v>0.45</v>
      </c>
      <c r="AS17" s="170">
        <v>0.45</v>
      </c>
      <c r="AT17" s="96"/>
      <c r="AU17" s="96"/>
      <c r="AV17" s="96"/>
      <c r="AW17" s="96"/>
      <c r="AX17" s="96"/>
      <c r="AY17" s="96"/>
      <c r="AZ17" s="96"/>
      <c r="BA17" s="96"/>
      <c r="BB17" s="96"/>
      <c r="BC17" s="96"/>
      <c r="BD17" s="96"/>
    </row>
    <row r="18" spans="1:56" x14ac:dyDescent="0.2">
      <c r="A18" s="97" t="str">
        <f>'4...Earthwrk'!B76</f>
        <v>Haul waste material</v>
      </c>
      <c r="B18" s="157" t="str">
        <f>'4...Earthwrk'!C76</f>
        <v>Front RP 8450 to 8550</v>
      </c>
      <c r="C18" s="157" t="str">
        <f>'4...Earthwrk'!D76</f>
        <v>Pit Repository 8900 to 9130</v>
      </c>
      <c r="D18" s="100">
        <f>'3...Material'!G75</f>
        <v>793</v>
      </c>
      <c r="E18" s="28">
        <f>'4...Earthwrk'!G76</f>
        <v>511000</v>
      </c>
      <c r="F18" s="176">
        <f t="shared" si="11"/>
        <v>23.422499977487245</v>
      </c>
      <c r="G18" s="150">
        <v>8</v>
      </c>
      <c r="H18" s="28">
        <f>AJ18*L18*'8...Loader'!D18*G18/F18*AK18</f>
        <v>1759.8708950632745</v>
      </c>
      <c r="I18" s="29">
        <f>IF(E18/H18&lt;'8...Loader'!$G18,'8...Loader'!$G18,E18/H18)</f>
        <v>290.36220863328015</v>
      </c>
      <c r="J18" s="156"/>
      <c r="K18" s="156">
        <v>130</v>
      </c>
      <c r="L18" s="29">
        <f>IF(TRUNC(J18/'8...Loader'!D18)&lt;TRUNC(K18/'8...Loader'!D18),TRUNC(K18/'8...Loader'!D18),TRUNC(J18/'8...Loader'!D18))</f>
        <v>3</v>
      </c>
      <c r="M18" s="150">
        <f>'3...Material'!E75</f>
        <v>22720</v>
      </c>
      <c r="N18" s="397">
        <v>3900</v>
      </c>
      <c r="O18" s="398">
        <v>0</v>
      </c>
      <c r="P18" s="397">
        <v>3320</v>
      </c>
      <c r="Q18" s="399">
        <v>0.1</v>
      </c>
      <c r="R18" s="397">
        <v>1700</v>
      </c>
      <c r="S18" s="398">
        <v>0.01</v>
      </c>
      <c r="T18" s="397">
        <v>2440</v>
      </c>
      <c r="U18" s="398">
        <v>0.06</v>
      </c>
      <c r="V18" s="177">
        <v>0.04</v>
      </c>
      <c r="W18" s="37">
        <f t="shared" si="2"/>
        <v>0.04</v>
      </c>
      <c r="X18" s="37">
        <f t="shared" si="3"/>
        <v>0.14000000000000001</v>
      </c>
      <c r="Y18" s="37">
        <f t="shared" si="4"/>
        <v>0.05</v>
      </c>
      <c r="Z18" s="37">
        <f t="shared" si="5"/>
        <v>0.1</v>
      </c>
      <c r="AA18" s="37">
        <f t="shared" si="6"/>
        <v>-1.9999999999999997E-2</v>
      </c>
      <c r="AB18" s="37">
        <f t="shared" si="7"/>
        <v>0.03</v>
      </c>
      <c r="AC18" s="37">
        <f t="shared" si="8"/>
        <v>-6.0000000000000005E-2</v>
      </c>
      <c r="AD18" s="37">
        <f t="shared" si="9"/>
        <v>0.04</v>
      </c>
      <c r="AE18" s="156">
        <f t="shared" si="10"/>
        <v>12.45</v>
      </c>
      <c r="AF18" s="156">
        <f t="shared" si="1"/>
        <v>5.1120000000000001</v>
      </c>
      <c r="AG18" s="156">
        <f>'8...Loader'!E18*L18</f>
        <v>2.8604999774872466</v>
      </c>
      <c r="AH18" s="170">
        <v>1.5</v>
      </c>
      <c r="AI18" s="170">
        <v>1.5</v>
      </c>
      <c r="AJ18" s="158">
        <v>54</v>
      </c>
      <c r="AK18" s="154">
        <v>0.93</v>
      </c>
      <c r="AL18" s="170">
        <v>0.75</v>
      </c>
      <c r="AM18" s="170">
        <v>1.75</v>
      </c>
      <c r="AN18" s="170">
        <v>0.75</v>
      </c>
      <c r="AO18" s="170">
        <v>1</v>
      </c>
      <c r="AP18" s="170">
        <v>0.45</v>
      </c>
      <c r="AQ18" s="170">
        <v>0.45</v>
      </c>
      <c r="AR18" s="170">
        <v>0.45</v>
      </c>
      <c r="AS18" s="170">
        <v>0.45</v>
      </c>
      <c r="AT18" s="96"/>
      <c r="AU18" s="96"/>
      <c r="AV18" s="96"/>
      <c r="AW18" s="96"/>
      <c r="AX18" s="96"/>
      <c r="AY18" s="96"/>
      <c r="AZ18" s="96"/>
      <c r="BA18" s="96"/>
      <c r="BB18" s="96"/>
      <c r="BC18" s="96"/>
      <c r="BD18" s="96"/>
    </row>
    <row r="19" spans="1:56" x14ac:dyDescent="0.2">
      <c r="A19" s="97" t="str">
        <f>'4...Earthwrk'!B77</f>
        <v>Haul waste material</v>
      </c>
      <c r="B19" s="157" t="str">
        <f>'4...Earthwrk'!C77</f>
        <v>Front RP 9250 to 9350</v>
      </c>
      <c r="C19" s="157" t="str">
        <f>'4...Earthwrk'!D77</f>
        <v>Pit Repository Ramp 8770 to 8520</v>
      </c>
      <c r="D19" s="100">
        <f>'3...Material'!G76</f>
        <v>793</v>
      </c>
      <c r="E19" s="28">
        <f>'4...Earthwrk'!G77</f>
        <v>913000</v>
      </c>
      <c r="F19" s="176">
        <f t="shared" si="11"/>
        <v>17.811299977487248</v>
      </c>
      <c r="G19" s="150">
        <v>6</v>
      </c>
      <c r="H19" s="28">
        <f>AJ19*L19*'8...Loader'!D19*G19/F19*AK19</f>
        <v>1735.72013491861</v>
      </c>
      <c r="I19" s="29">
        <f>IF(E19/H19&lt;'8...Loader'!$G19,'8...Loader'!$G19,E19/H19)</f>
        <v>526.00645785722338</v>
      </c>
      <c r="J19" s="156"/>
      <c r="K19" s="156">
        <v>130</v>
      </c>
      <c r="L19" s="29">
        <f>IF(TRUNC(J19/'8...Loader'!D19)&lt;TRUNC(K19/'8...Loader'!D19),TRUNC(K19/'8...Loader'!D19),TRUNC(J19/'8...Loader'!D19))</f>
        <v>3</v>
      </c>
      <c r="M19" s="150">
        <f>'3...Material'!E76</f>
        <v>17320</v>
      </c>
      <c r="N19" s="397">
        <v>1830</v>
      </c>
      <c r="O19" s="398">
        <v>0</v>
      </c>
      <c r="P19" s="397">
        <v>6830</v>
      </c>
      <c r="Q19" s="399">
        <v>-0.1</v>
      </c>
      <c r="R19" s="397"/>
      <c r="S19" s="398"/>
      <c r="T19" s="397"/>
      <c r="U19" s="398"/>
      <c r="V19" s="177">
        <v>0.04</v>
      </c>
      <c r="W19" s="37">
        <f t="shared" si="2"/>
        <v>0.04</v>
      </c>
      <c r="X19" s="37">
        <f t="shared" si="3"/>
        <v>-6.0000000000000005E-2</v>
      </c>
      <c r="Y19" s="37">
        <f t="shared" si="4"/>
        <v>0.04</v>
      </c>
      <c r="Z19" s="37">
        <f t="shared" si="5"/>
        <v>0.04</v>
      </c>
      <c r="AA19" s="37">
        <f t="shared" si="6"/>
        <v>0.04</v>
      </c>
      <c r="AB19" s="37">
        <f t="shared" si="7"/>
        <v>0.04</v>
      </c>
      <c r="AC19" s="37">
        <f t="shared" si="8"/>
        <v>0.14000000000000001</v>
      </c>
      <c r="AD19" s="37">
        <f t="shared" si="9"/>
        <v>0.04</v>
      </c>
      <c r="AE19" s="156">
        <f t="shared" si="10"/>
        <v>5.2254000000000005</v>
      </c>
      <c r="AF19" s="156">
        <f t="shared" si="1"/>
        <v>6.7253999999999996</v>
      </c>
      <c r="AG19" s="156">
        <f>'8...Loader'!E19*L19</f>
        <v>2.8604999774872466</v>
      </c>
      <c r="AH19" s="170">
        <v>1.5</v>
      </c>
      <c r="AI19" s="170">
        <v>1.5</v>
      </c>
      <c r="AJ19" s="158">
        <v>54</v>
      </c>
      <c r="AK19" s="154">
        <v>0.93</v>
      </c>
      <c r="AL19" s="170">
        <v>0.84</v>
      </c>
      <c r="AM19" s="170">
        <v>0.54</v>
      </c>
      <c r="AN19" s="170">
        <v>0.84</v>
      </c>
      <c r="AO19" s="170">
        <v>0.84</v>
      </c>
      <c r="AP19" s="170">
        <v>0.54</v>
      </c>
      <c r="AQ19" s="170">
        <v>0.54</v>
      </c>
      <c r="AR19" s="170">
        <v>0.84</v>
      </c>
      <c r="AS19" s="170">
        <v>0.54</v>
      </c>
      <c r="AT19" s="96"/>
      <c r="AU19" s="96"/>
      <c r="AV19" s="96"/>
      <c r="AW19" s="96"/>
      <c r="AX19" s="96"/>
      <c r="AY19" s="96"/>
      <c r="AZ19" s="96"/>
      <c r="BA19" s="96"/>
      <c r="BB19" s="96"/>
      <c r="BC19" s="96"/>
      <c r="BD19" s="96"/>
    </row>
    <row r="20" spans="1:56" x14ac:dyDescent="0.2">
      <c r="A20" s="97" t="str">
        <f>'4...Earthwrk'!B78</f>
        <v>Haul waste material</v>
      </c>
      <c r="B20" s="157" t="str">
        <f>'4...Earthwrk'!C78</f>
        <v>Front RP 9250 to 9350</v>
      </c>
      <c r="C20" s="157" t="str">
        <f>'4...Earthwrk'!D78</f>
        <v>Pit Repository 8520 to 8650</v>
      </c>
      <c r="D20" s="100">
        <f>'3...Material'!G77</f>
        <v>793</v>
      </c>
      <c r="E20" s="28">
        <f>'4...Earthwrk'!G78</f>
        <v>2021000</v>
      </c>
      <c r="F20" s="176">
        <f t="shared" si="11"/>
        <v>16.569299977487248</v>
      </c>
      <c r="G20" s="150">
        <v>6</v>
      </c>
      <c r="H20" s="28">
        <f>AJ20*L20*'8...Loader'!D20*G20/F20*AK20</f>
        <v>1865.8260784707188</v>
      </c>
      <c r="I20" s="29">
        <f>IF(E20/H20&lt;'8...Loader'!$G20,'8...Loader'!$G20,E20/H20)</f>
        <v>1121.977617101076</v>
      </c>
      <c r="J20" s="156"/>
      <c r="K20" s="156">
        <v>130</v>
      </c>
      <c r="L20" s="29">
        <f>IF(TRUNC(J20/'8...Loader'!D20)&lt;TRUNC(K20/'8...Loader'!D20),TRUNC(K20/'8...Loader'!D20),TRUNC(J20/'8...Loader'!D20))</f>
        <v>3</v>
      </c>
      <c r="M20" s="150">
        <f>'3...Material'!E77</f>
        <v>15520</v>
      </c>
      <c r="N20" s="397">
        <v>1980</v>
      </c>
      <c r="O20" s="398">
        <v>0</v>
      </c>
      <c r="P20" s="397">
        <v>5780</v>
      </c>
      <c r="Q20" s="399">
        <v>-0.1</v>
      </c>
      <c r="R20" s="397"/>
      <c r="S20" s="398"/>
      <c r="T20" s="397"/>
      <c r="U20" s="398"/>
      <c r="V20" s="177">
        <v>0.04</v>
      </c>
      <c r="W20" s="37">
        <f t="shared" si="2"/>
        <v>0.04</v>
      </c>
      <c r="X20" s="37">
        <f t="shared" si="3"/>
        <v>-6.0000000000000005E-2</v>
      </c>
      <c r="Y20" s="37">
        <f t="shared" si="4"/>
        <v>0.04</v>
      </c>
      <c r="Z20" s="37">
        <f t="shared" si="5"/>
        <v>0.04</v>
      </c>
      <c r="AA20" s="37">
        <f t="shared" si="6"/>
        <v>0.04</v>
      </c>
      <c r="AB20" s="37">
        <f t="shared" si="7"/>
        <v>0.04</v>
      </c>
      <c r="AC20" s="37">
        <f t="shared" si="8"/>
        <v>0.14000000000000001</v>
      </c>
      <c r="AD20" s="37">
        <f t="shared" si="9"/>
        <v>0.04</v>
      </c>
      <c r="AE20" s="156">
        <f t="shared" si="10"/>
        <v>4.7844000000000007</v>
      </c>
      <c r="AF20" s="156">
        <f t="shared" si="1"/>
        <v>5.9244000000000003</v>
      </c>
      <c r="AG20" s="156">
        <f>'8...Loader'!E20*L20</f>
        <v>2.8604999774872466</v>
      </c>
      <c r="AH20" s="170">
        <v>1.5</v>
      </c>
      <c r="AI20" s="170">
        <v>1.5</v>
      </c>
      <c r="AJ20" s="158">
        <v>54</v>
      </c>
      <c r="AK20" s="154">
        <v>0.93</v>
      </c>
      <c r="AL20" s="170">
        <v>0.84</v>
      </c>
      <c r="AM20" s="170">
        <v>0.54</v>
      </c>
      <c r="AN20" s="170">
        <v>0.84</v>
      </c>
      <c r="AO20" s="170">
        <v>0.84</v>
      </c>
      <c r="AP20" s="170">
        <v>0.54</v>
      </c>
      <c r="AQ20" s="170">
        <v>0.54</v>
      </c>
      <c r="AR20" s="170">
        <v>0.84</v>
      </c>
      <c r="AS20" s="170">
        <v>0.54</v>
      </c>
      <c r="AT20" s="96"/>
      <c r="AU20" s="96"/>
      <c r="AV20" s="96"/>
      <c r="AW20" s="96"/>
      <c r="AX20" s="96"/>
      <c r="AY20" s="96"/>
      <c r="AZ20" s="96"/>
      <c r="BA20" s="96"/>
      <c r="BB20" s="96"/>
      <c r="BC20" s="96"/>
      <c r="BD20" s="96"/>
    </row>
    <row r="21" spans="1:56" x14ac:dyDescent="0.2">
      <c r="A21" s="97" t="str">
        <f>'4...Earthwrk'!B79</f>
        <v>Haul waste material</v>
      </c>
      <c r="B21" s="157" t="str">
        <f>'4...Earthwrk'!C79</f>
        <v>Front RP 9050 to 9150</v>
      </c>
      <c r="C21" s="157" t="str">
        <f>'4...Earthwrk'!D79</f>
        <v>Pit Repository 8650 to 8770</v>
      </c>
      <c r="D21" s="100">
        <f>'3...Material'!G78</f>
        <v>793</v>
      </c>
      <c r="E21" s="28">
        <f>'4...Earthwrk'!G79</f>
        <v>4674000</v>
      </c>
      <c r="F21" s="176">
        <f t="shared" si="11"/>
        <v>17.162699977487247</v>
      </c>
      <c r="G21" s="150">
        <v>6</v>
      </c>
      <c r="H21" s="28">
        <f>AJ21*L21*'8...Loader'!D21*G21/F21*AK21</f>
        <v>1801.3151800446647</v>
      </c>
      <c r="I21" s="29">
        <f>IF(E21/H21&lt;'8...Loader'!$G21,'8...Loader'!$G21,E21/H21)</f>
        <v>2594.8161218854175</v>
      </c>
      <c r="J21" s="156"/>
      <c r="K21" s="156">
        <v>130</v>
      </c>
      <c r="L21" s="29">
        <f>IF(TRUNC(J21/'8...Loader'!D21)&lt;TRUNC(K21/'8...Loader'!D21),TRUNC(K21/'8...Loader'!D21),TRUNC(J21/'8...Loader'!D21))</f>
        <v>3</v>
      </c>
      <c r="M21" s="150">
        <f>'3...Material'!E78</f>
        <v>16180</v>
      </c>
      <c r="N21" s="397">
        <v>5390</v>
      </c>
      <c r="O21" s="398">
        <v>0</v>
      </c>
      <c r="P21" s="397">
        <v>2800</v>
      </c>
      <c r="Q21" s="399">
        <v>-0.1</v>
      </c>
      <c r="R21" s="397"/>
      <c r="S21" s="398"/>
      <c r="T21" s="397"/>
      <c r="U21" s="398"/>
      <c r="V21" s="177">
        <v>0.04</v>
      </c>
      <c r="W21" s="37">
        <f t="shared" si="2"/>
        <v>0.04</v>
      </c>
      <c r="X21" s="37">
        <f t="shared" si="3"/>
        <v>-6.0000000000000005E-2</v>
      </c>
      <c r="Y21" s="37">
        <f t="shared" si="4"/>
        <v>0.04</v>
      </c>
      <c r="Z21" s="37">
        <f t="shared" si="5"/>
        <v>0.04</v>
      </c>
      <c r="AA21" s="37">
        <f t="shared" si="6"/>
        <v>0.04</v>
      </c>
      <c r="AB21" s="37">
        <f t="shared" si="7"/>
        <v>0.04</v>
      </c>
      <c r="AC21" s="37">
        <f t="shared" si="8"/>
        <v>0.14000000000000001</v>
      </c>
      <c r="AD21" s="37">
        <f t="shared" si="9"/>
        <v>0.04</v>
      </c>
      <c r="AE21" s="156">
        <f t="shared" si="10"/>
        <v>6.0396000000000001</v>
      </c>
      <c r="AF21" s="156">
        <f t="shared" si="1"/>
        <v>5.2626000000000008</v>
      </c>
      <c r="AG21" s="156">
        <f>'8...Loader'!E21*L21</f>
        <v>2.8604999774872466</v>
      </c>
      <c r="AH21" s="170">
        <v>1.5</v>
      </c>
      <c r="AI21" s="170">
        <v>1.5</v>
      </c>
      <c r="AJ21" s="158">
        <v>54</v>
      </c>
      <c r="AK21" s="154">
        <v>0.93</v>
      </c>
      <c r="AL21" s="170">
        <v>0.84</v>
      </c>
      <c r="AM21" s="170">
        <v>0.54</v>
      </c>
      <c r="AN21" s="170">
        <v>0.84</v>
      </c>
      <c r="AO21" s="170">
        <v>0.84</v>
      </c>
      <c r="AP21" s="170">
        <v>0.54</v>
      </c>
      <c r="AQ21" s="170">
        <v>0.54</v>
      </c>
      <c r="AR21" s="170">
        <v>0.84</v>
      </c>
      <c r="AS21" s="170">
        <v>0.54</v>
      </c>
      <c r="AT21" s="96"/>
      <c r="AU21" s="96"/>
      <c r="AV21" s="96"/>
      <c r="AW21" s="96"/>
      <c r="AX21" s="96"/>
      <c r="AY21" s="96"/>
      <c r="AZ21" s="96"/>
      <c r="BA21" s="96"/>
      <c r="BB21" s="96"/>
      <c r="BC21" s="96"/>
      <c r="BD21" s="96"/>
    </row>
    <row r="22" spans="1:56" x14ac:dyDescent="0.2">
      <c r="A22" s="97" t="str">
        <f>'4...Earthwrk'!B80</f>
        <v>Haul waste material</v>
      </c>
      <c r="B22" s="157" t="str">
        <f>'4...Earthwrk'!C80</f>
        <v>Front RP 8950 to 9050</v>
      </c>
      <c r="C22" s="157" t="str">
        <f>'4...Earthwrk'!D80</f>
        <v>Pit Repository 8650 to 8770</v>
      </c>
      <c r="D22" s="100">
        <f>'3...Material'!G79</f>
        <v>793</v>
      </c>
      <c r="E22" s="28">
        <f>'4...Earthwrk'!G80</f>
        <v>3964000</v>
      </c>
      <c r="F22" s="176">
        <f t="shared" si="11"/>
        <v>16.886699977487247</v>
      </c>
      <c r="G22" s="150">
        <v>6</v>
      </c>
      <c r="H22" s="28">
        <f>AJ22*L22*'8...Loader'!D22*G22/F22*AK22</f>
        <v>1830.7562780895835</v>
      </c>
      <c r="I22" s="29">
        <f>IF(E22/H22&lt;'8...Loader'!$G22,'8...Loader'!$G22,E22/H22)</f>
        <v>2200.6527828741541</v>
      </c>
      <c r="J22" s="156"/>
      <c r="K22" s="156">
        <v>130</v>
      </c>
      <c r="L22" s="29">
        <f>IF(TRUNC(J22/'8...Loader'!D22)&lt;TRUNC(K22/'8...Loader'!D22),TRUNC(K22/'8...Loader'!D22),TRUNC(J22/'8...Loader'!D22))</f>
        <v>3</v>
      </c>
      <c r="M22" s="150">
        <f>'3...Material'!E79</f>
        <v>15980</v>
      </c>
      <c r="N22" s="397">
        <v>6190</v>
      </c>
      <c r="O22" s="398">
        <v>0</v>
      </c>
      <c r="P22" s="397">
        <v>1800</v>
      </c>
      <c r="Q22" s="399">
        <v>-0.1</v>
      </c>
      <c r="R22" s="397"/>
      <c r="S22" s="398"/>
      <c r="T22" s="397"/>
      <c r="U22" s="398"/>
      <c r="V22" s="177">
        <v>0.04</v>
      </c>
      <c r="W22" s="37">
        <f t="shared" si="2"/>
        <v>0.04</v>
      </c>
      <c r="X22" s="37">
        <f t="shared" si="3"/>
        <v>-6.0000000000000005E-2</v>
      </c>
      <c r="Y22" s="37">
        <f t="shared" si="4"/>
        <v>0.04</v>
      </c>
      <c r="Z22" s="37">
        <f t="shared" si="5"/>
        <v>0.04</v>
      </c>
      <c r="AA22" s="37">
        <f t="shared" si="6"/>
        <v>0.04</v>
      </c>
      <c r="AB22" s="37">
        <f t="shared" si="7"/>
        <v>0.04</v>
      </c>
      <c r="AC22" s="37">
        <f t="shared" si="8"/>
        <v>0.14000000000000001</v>
      </c>
      <c r="AD22" s="37">
        <f t="shared" si="9"/>
        <v>0.04</v>
      </c>
      <c r="AE22" s="156">
        <f t="shared" si="10"/>
        <v>6.1715999999999998</v>
      </c>
      <c r="AF22" s="156">
        <f t="shared" si="1"/>
        <v>4.8546000000000005</v>
      </c>
      <c r="AG22" s="156">
        <f>'8...Loader'!E22*L22</f>
        <v>2.8604999774872466</v>
      </c>
      <c r="AH22" s="170">
        <v>1.5</v>
      </c>
      <c r="AI22" s="170">
        <v>1.5</v>
      </c>
      <c r="AJ22" s="158">
        <v>54</v>
      </c>
      <c r="AK22" s="154">
        <v>0.93</v>
      </c>
      <c r="AL22" s="170">
        <v>0.84</v>
      </c>
      <c r="AM22" s="170">
        <v>0.54</v>
      </c>
      <c r="AN22" s="170">
        <v>0.84</v>
      </c>
      <c r="AO22" s="170">
        <v>0.84</v>
      </c>
      <c r="AP22" s="170">
        <v>0.54</v>
      </c>
      <c r="AQ22" s="170">
        <v>0.54</v>
      </c>
      <c r="AR22" s="170">
        <v>0.84</v>
      </c>
      <c r="AS22" s="170">
        <v>0.54</v>
      </c>
      <c r="AT22" s="96"/>
      <c r="AU22" s="96"/>
      <c r="AV22" s="96"/>
      <c r="AW22" s="96"/>
      <c r="AX22" s="96"/>
      <c r="AY22" s="96"/>
      <c r="AZ22" s="96"/>
      <c r="BA22" s="96"/>
      <c r="BB22" s="96"/>
      <c r="BC22" s="96"/>
      <c r="BD22" s="96"/>
    </row>
    <row r="23" spans="1:56" x14ac:dyDescent="0.2">
      <c r="A23" s="97" t="str">
        <f>'4...Earthwrk'!B81</f>
        <v>Haul waste material</v>
      </c>
      <c r="B23" s="157" t="str">
        <f>'4...Earthwrk'!C81</f>
        <v>Front RP 8650 to 8750</v>
      </c>
      <c r="C23" s="157" t="str">
        <f>'4...Earthwrk'!D81</f>
        <v>Blind Gulch Bottom</v>
      </c>
      <c r="D23" s="100">
        <f>'3...Material'!G80</f>
        <v>793</v>
      </c>
      <c r="E23" s="28">
        <f>'4...Earthwrk'!G81</f>
        <v>1662000</v>
      </c>
      <c r="F23" s="176">
        <f t="shared" si="11"/>
        <v>16.579099977487246</v>
      </c>
      <c r="G23" s="150">
        <v>6</v>
      </c>
      <c r="H23" s="28">
        <f>AJ23*L23*'8...Loader'!D23*G23/F23*AK23</f>
        <v>1864.7231780965226</v>
      </c>
      <c r="I23" s="29">
        <f>IF(E23/H23&lt;'8...Loader'!$G23,'8...Loader'!$G23,E23/H23)</f>
        <v>922.67530906580316</v>
      </c>
      <c r="J23" s="156"/>
      <c r="K23" s="156">
        <v>130</v>
      </c>
      <c r="L23" s="29">
        <f>IF(TRUNC(J23/'8...Loader'!D23)&lt;TRUNC(K23/'8...Loader'!D23),TRUNC(K23/'8...Loader'!D23),TRUNC(J23/'8...Loader'!D23))</f>
        <v>3</v>
      </c>
      <c r="M23" s="150">
        <f>'3...Material'!E80</f>
        <v>15240</v>
      </c>
      <c r="N23" s="397">
        <v>4730</v>
      </c>
      <c r="O23" s="398">
        <v>0</v>
      </c>
      <c r="P23" s="397">
        <v>1700</v>
      </c>
      <c r="Q23" s="399">
        <v>0.01</v>
      </c>
      <c r="R23" s="397">
        <v>310</v>
      </c>
      <c r="S23" s="398">
        <v>0.1</v>
      </c>
      <c r="T23" s="397">
        <v>880</v>
      </c>
      <c r="U23" s="398">
        <v>0.05</v>
      </c>
      <c r="V23" s="177">
        <v>0.04</v>
      </c>
      <c r="W23" s="37">
        <f t="shared" si="2"/>
        <v>0.04</v>
      </c>
      <c r="X23" s="37">
        <f t="shared" si="3"/>
        <v>0.05</v>
      </c>
      <c r="Y23" s="37">
        <f t="shared" si="4"/>
        <v>0.14000000000000001</v>
      </c>
      <c r="Z23" s="37">
        <f t="shared" si="5"/>
        <v>0.09</v>
      </c>
      <c r="AA23" s="37">
        <f t="shared" si="6"/>
        <v>-1.0000000000000002E-2</v>
      </c>
      <c r="AB23" s="37">
        <f t="shared" si="7"/>
        <v>-6.0000000000000005E-2</v>
      </c>
      <c r="AC23" s="37">
        <f t="shared" si="8"/>
        <v>0.03</v>
      </c>
      <c r="AD23" s="37">
        <f t="shared" si="9"/>
        <v>0.04</v>
      </c>
      <c r="AE23" s="156">
        <f t="shared" si="10"/>
        <v>6.6037999999999988</v>
      </c>
      <c r="AF23" s="156">
        <f t="shared" si="1"/>
        <v>4.1148000000000007</v>
      </c>
      <c r="AG23" s="156">
        <f>'8...Loader'!E23*L23</f>
        <v>2.8604999774872466</v>
      </c>
      <c r="AH23" s="170">
        <v>1.5</v>
      </c>
      <c r="AI23" s="170">
        <v>1.5</v>
      </c>
      <c r="AJ23" s="158">
        <v>54</v>
      </c>
      <c r="AK23" s="154">
        <v>0.93</v>
      </c>
      <c r="AL23" s="170">
        <v>0.84</v>
      </c>
      <c r="AM23" s="170">
        <v>0.64</v>
      </c>
      <c r="AN23" s="170">
        <v>1.74</v>
      </c>
      <c r="AO23" s="170">
        <v>1.1399999999999999</v>
      </c>
      <c r="AP23" s="170">
        <v>0.54</v>
      </c>
      <c r="AQ23" s="170">
        <v>0.54</v>
      </c>
      <c r="AR23" s="170">
        <v>0.54</v>
      </c>
      <c r="AS23" s="170">
        <v>0.54</v>
      </c>
      <c r="AT23" s="96"/>
      <c r="AU23" s="96"/>
      <c r="AV23" s="96"/>
      <c r="AW23" s="96"/>
      <c r="AX23" s="96"/>
      <c r="AY23" s="96"/>
      <c r="AZ23" s="96"/>
      <c r="BA23" s="96"/>
      <c r="BB23" s="96"/>
      <c r="BC23" s="96"/>
      <c r="BD23" s="96"/>
    </row>
    <row r="24" spans="1:56" x14ac:dyDescent="0.2">
      <c r="A24" s="97" t="str">
        <f>'4...Earthwrk'!B82</f>
        <v>Haul waste material</v>
      </c>
      <c r="B24" s="157" t="str">
        <f>'4...Earthwrk'!C82</f>
        <v>Front RP 9150 to 9250</v>
      </c>
      <c r="C24" s="157" t="str">
        <f>'4...Earthwrk'!D82</f>
        <v>Pit Repository 8520 to 8650</v>
      </c>
      <c r="D24" s="100">
        <f>'3...Material'!G81</f>
        <v>793</v>
      </c>
      <c r="E24" s="28">
        <f>'4...Earthwrk'!G82</f>
        <v>4345000</v>
      </c>
      <c r="F24" s="176">
        <f t="shared" si="11"/>
        <v>15.879299977487246</v>
      </c>
      <c r="G24" s="150">
        <v>6</v>
      </c>
      <c r="H24" s="28">
        <f>AJ24*L24*'8...Loader'!D24*G24/F24*AK24</f>
        <v>1946.9014404810109</v>
      </c>
      <c r="I24" s="29">
        <f>IF(E24/H24&lt;'8...Loader'!$G24,'8...Loader'!$G24,E24/H24)</f>
        <v>2412.1686028224517</v>
      </c>
      <c r="J24" s="156"/>
      <c r="K24" s="156">
        <v>130</v>
      </c>
      <c r="L24" s="29">
        <f>IF(TRUNC(J24/'8...Loader'!D24)&lt;TRUNC(K24/'8...Loader'!D24),TRUNC(K24/'8...Loader'!D24),TRUNC(J24/'8...Loader'!D24))</f>
        <v>3</v>
      </c>
      <c r="M24" s="150">
        <f>'3...Material'!E81</f>
        <v>14520</v>
      </c>
      <c r="N24" s="397">
        <v>2480</v>
      </c>
      <c r="O24" s="398">
        <v>0</v>
      </c>
      <c r="P24" s="397">
        <v>4780</v>
      </c>
      <c r="Q24" s="399">
        <v>-0.1</v>
      </c>
      <c r="R24" s="397"/>
      <c r="S24" s="398"/>
      <c r="T24" s="397"/>
      <c r="U24" s="398"/>
      <c r="V24" s="177">
        <v>0.04</v>
      </c>
      <c r="W24" s="37">
        <f t="shared" si="2"/>
        <v>0.04</v>
      </c>
      <c r="X24" s="37">
        <f t="shared" si="3"/>
        <v>-6.0000000000000005E-2</v>
      </c>
      <c r="Y24" s="37">
        <f t="shared" si="4"/>
        <v>0.04</v>
      </c>
      <c r="Z24" s="37">
        <f t="shared" si="5"/>
        <v>0.04</v>
      </c>
      <c r="AA24" s="37">
        <f t="shared" si="6"/>
        <v>0.04</v>
      </c>
      <c r="AB24" s="37">
        <f t="shared" si="7"/>
        <v>0.04</v>
      </c>
      <c r="AC24" s="37">
        <f t="shared" si="8"/>
        <v>0.14000000000000001</v>
      </c>
      <c r="AD24" s="37">
        <f t="shared" si="9"/>
        <v>0.04</v>
      </c>
      <c r="AE24" s="156">
        <f t="shared" si="10"/>
        <v>4.6644000000000005</v>
      </c>
      <c r="AF24" s="156">
        <f t="shared" si="1"/>
        <v>5.3544</v>
      </c>
      <c r="AG24" s="156">
        <f>'8...Loader'!E24*L24</f>
        <v>2.8604999774872466</v>
      </c>
      <c r="AH24" s="170">
        <v>1.5</v>
      </c>
      <c r="AI24" s="170">
        <v>1.5</v>
      </c>
      <c r="AJ24" s="158">
        <v>54</v>
      </c>
      <c r="AK24" s="154">
        <v>0.93</v>
      </c>
      <c r="AL24" s="170">
        <v>0.84</v>
      </c>
      <c r="AM24" s="170">
        <v>0.54</v>
      </c>
      <c r="AN24" s="170">
        <v>0.84</v>
      </c>
      <c r="AO24" s="170">
        <v>0.84</v>
      </c>
      <c r="AP24" s="170">
        <v>0.84</v>
      </c>
      <c r="AQ24" s="170">
        <v>0.54</v>
      </c>
      <c r="AR24" s="170">
        <v>0.84</v>
      </c>
      <c r="AS24" s="170">
        <v>0.54</v>
      </c>
      <c r="AT24" s="96"/>
      <c r="AU24" s="96"/>
      <c r="AV24" s="96"/>
      <c r="AW24" s="96"/>
      <c r="AX24" s="96"/>
      <c r="AY24" s="96"/>
      <c r="AZ24" s="96"/>
      <c r="BA24" s="96"/>
      <c r="BB24" s="96"/>
      <c r="BC24" s="96"/>
      <c r="BD24" s="96"/>
    </row>
    <row r="25" spans="1:56" x14ac:dyDescent="0.2">
      <c r="A25" s="97" t="str">
        <f>'4...Earthwrk'!B83</f>
        <v>Haul waste material</v>
      </c>
      <c r="B25" s="157" t="str">
        <f>'4...Earthwrk'!C83</f>
        <v>Front RP 8550 to 8650</v>
      </c>
      <c r="C25" s="157" t="str">
        <f>'4...Earthwrk'!D83</f>
        <v>Blind Gulch Bottom</v>
      </c>
      <c r="D25" s="100">
        <f>'3...Material'!G82</f>
        <v>793</v>
      </c>
      <c r="E25" s="28">
        <f>'4...Earthwrk'!G83</f>
        <v>2085000</v>
      </c>
      <c r="F25" s="176">
        <f t="shared" si="11"/>
        <v>17.196099977487247</v>
      </c>
      <c r="G25" s="150">
        <v>6</v>
      </c>
      <c r="H25" s="28">
        <f>AJ25*L25*'8...Loader'!D25*G25/F25*AK25</f>
        <v>1797.8164839977553</v>
      </c>
      <c r="I25" s="29">
        <f>IF(E25/H25&lt;'8...Loader'!$G25,'8...Loader'!$G25,E25/H25)</f>
        <v>1159.7401729033224</v>
      </c>
      <c r="J25" s="156"/>
      <c r="K25" s="156">
        <v>130</v>
      </c>
      <c r="L25" s="29">
        <f>IF(TRUNC(J25/'8...Loader'!D25)&lt;TRUNC(K25/'8...Loader'!D25),TRUNC(K25/'8...Loader'!D25),TRUNC(J25/'8...Loader'!D25))</f>
        <v>3</v>
      </c>
      <c r="M25" s="150">
        <f>'3...Material'!E82</f>
        <v>14640</v>
      </c>
      <c r="N25" s="397">
        <v>3430</v>
      </c>
      <c r="O25" s="398">
        <v>0</v>
      </c>
      <c r="P25" s="397">
        <v>1310</v>
      </c>
      <c r="Q25" s="399">
        <v>0.1</v>
      </c>
      <c r="R25" s="397">
        <v>1700</v>
      </c>
      <c r="S25" s="398">
        <v>0.01</v>
      </c>
      <c r="T25" s="397">
        <v>880</v>
      </c>
      <c r="U25" s="398">
        <v>0.05</v>
      </c>
      <c r="V25" s="177">
        <v>0.04</v>
      </c>
      <c r="W25" s="37">
        <f t="shared" si="2"/>
        <v>0.04</v>
      </c>
      <c r="X25" s="37">
        <f t="shared" si="3"/>
        <v>0.14000000000000001</v>
      </c>
      <c r="Y25" s="37">
        <f t="shared" si="4"/>
        <v>0.05</v>
      </c>
      <c r="Z25" s="37">
        <f t="shared" si="5"/>
        <v>0.09</v>
      </c>
      <c r="AA25" s="37">
        <f t="shared" si="6"/>
        <v>-1.0000000000000002E-2</v>
      </c>
      <c r="AB25" s="37">
        <f t="shared" si="7"/>
        <v>0.03</v>
      </c>
      <c r="AC25" s="37">
        <f t="shared" si="8"/>
        <v>-6.0000000000000005E-2</v>
      </c>
      <c r="AD25" s="37">
        <f t="shared" si="9"/>
        <v>0.04</v>
      </c>
      <c r="AE25" s="156">
        <f t="shared" si="10"/>
        <v>7.3827999999999996</v>
      </c>
      <c r="AF25" s="156">
        <f t="shared" si="1"/>
        <v>3.9528000000000008</v>
      </c>
      <c r="AG25" s="156">
        <f>'8...Loader'!E25*L25</f>
        <v>2.8604999774872466</v>
      </c>
      <c r="AH25" s="170">
        <v>1.5</v>
      </c>
      <c r="AI25" s="170">
        <v>1.5</v>
      </c>
      <c r="AJ25" s="158">
        <v>54</v>
      </c>
      <c r="AK25" s="154">
        <v>0.93</v>
      </c>
      <c r="AL25" s="170">
        <v>0.84</v>
      </c>
      <c r="AM25" s="170">
        <v>1.84</v>
      </c>
      <c r="AN25" s="170">
        <v>0.64</v>
      </c>
      <c r="AO25" s="170">
        <v>1.1399999999999999</v>
      </c>
      <c r="AP25" s="170">
        <v>0.54</v>
      </c>
      <c r="AQ25" s="170">
        <v>0.54</v>
      </c>
      <c r="AR25" s="170">
        <v>0.54</v>
      </c>
      <c r="AS25" s="170">
        <v>0.54</v>
      </c>
      <c r="AT25" s="96"/>
      <c r="AU25" s="96"/>
      <c r="AV25" s="96"/>
      <c r="AW25" s="96"/>
      <c r="AX25" s="96"/>
      <c r="AY25" s="96"/>
      <c r="AZ25" s="96"/>
      <c r="BA25" s="96"/>
      <c r="BB25" s="96"/>
      <c r="BC25" s="96"/>
      <c r="BD25" s="96"/>
    </row>
    <row r="26" spans="1:56" x14ac:dyDescent="0.2">
      <c r="A26" s="97" t="str">
        <f>'4...Earthwrk'!B84</f>
        <v>Haul waste material</v>
      </c>
      <c r="B26" s="157" t="str">
        <f>'4...Earthwrk'!C84</f>
        <v>Front RP 9050 to 9150</v>
      </c>
      <c r="C26" s="157" t="str">
        <f>'4...Earthwrk'!D84</f>
        <v>Pit Repository 8520 to 8650</v>
      </c>
      <c r="D26" s="100">
        <f>'3...Material'!G83</f>
        <v>793</v>
      </c>
      <c r="E26" s="28">
        <f>'4...Earthwrk'!G84</f>
        <v>163000</v>
      </c>
      <c r="F26" s="176">
        <f t="shared" si="11"/>
        <v>15.465299977487248</v>
      </c>
      <c r="G26" s="150">
        <v>5</v>
      </c>
      <c r="H26" s="28">
        <f>AJ26*L26*'8...Loader'!D26*G26/F26*AK26</f>
        <v>1665.8493554928039</v>
      </c>
      <c r="I26" s="29">
        <f>IF(E26/H26&lt;'8...Loader'!$G26,'8...Loader'!$G26,E26/H26)</f>
        <v>97.847983350079176</v>
      </c>
      <c r="J26" s="156"/>
      <c r="K26" s="156">
        <v>130</v>
      </c>
      <c r="L26" s="29">
        <f>IF(TRUNC(J26/'8...Loader'!D26)&lt;TRUNC(K26/'8...Loader'!D26),TRUNC(K26/'8...Loader'!D26),TRUNC(J26/'8...Loader'!D26))</f>
        <v>3</v>
      </c>
      <c r="M26" s="150">
        <f>'3...Material'!E83</f>
        <v>13920</v>
      </c>
      <c r="N26" s="397">
        <v>3180</v>
      </c>
      <c r="O26" s="398">
        <v>0</v>
      </c>
      <c r="P26" s="397">
        <v>3780</v>
      </c>
      <c r="Q26" s="399">
        <v>-0.1</v>
      </c>
      <c r="R26" s="397"/>
      <c r="S26" s="398"/>
      <c r="T26" s="397"/>
      <c r="U26" s="398"/>
      <c r="V26" s="177">
        <v>0.04</v>
      </c>
      <c r="W26" s="37">
        <f t="shared" si="2"/>
        <v>0.04</v>
      </c>
      <c r="X26" s="37">
        <f t="shared" si="3"/>
        <v>-6.0000000000000005E-2</v>
      </c>
      <c r="Y26" s="37">
        <f t="shared" si="4"/>
        <v>0.04</v>
      </c>
      <c r="Z26" s="37">
        <f t="shared" si="5"/>
        <v>0.04</v>
      </c>
      <c r="AA26" s="37">
        <f t="shared" si="6"/>
        <v>0.04</v>
      </c>
      <c r="AB26" s="37">
        <f t="shared" si="7"/>
        <v>0.04</v>
      </c>
      <c r="AC26" s="37">
        <f t="shared" si="8"/>
        <v>0.14000000000000001</v>
      </c>
      <c r="AD26" s="37">
        <f t="shared" si="9"/>
        <v>0.04</v>
      </c>
      <c r="AE26" s="156">
        <f t="shared" si="10"/>
        <v>4.7123999999999997</v>
      </c>
      <c r="AF26" s="156">
        <f t="shared" si="1"/>
        <v>4.8924000000000003</v>
      </c>
      <c r="AG26" s="156">
        <f>'8...Loader'!E26*L26</f>
        <v>2.8604999774872466</v>
      </c>
      <c r="AH26" s="170">
        <v>1.5</v>
      </c>
      <c r="AI26" s="170">
        <v>1.5</v>
      </c>
      <c r="AJ26" s="158">
        <v>54</v>
      </c>
      <c r="AK26" s="154">
        <v>0.93</v>
      </c>
      <c r="AL26" s="170">
        <v>0.84</v>
      </c>
      <c r="AM26" s="170">
        <v>0.54</v>
      </c>
      <c r="AN26" s="170">
        <v>0.54</v>
      </c>
      <c r="AO26" s="170">
        <v>0.54</v>
      </c>
      <c r="AP26" s="170">
        <v>0.54</v>
      </c>
      <c r="AQ26" s="170">
        <v>0.54</v>
      </c>
      <c r="AR26" s="170">
        <v>0.84</v>
      </c>
      <c r="AS26" s="170">
        <v>0.54</v>
      </c>
      <c r="AT26" s="96"/>
      <c r="AU26" s="96"/>
      <c r="AV26" s="96"/>
      <c r="AW26" s="96"/>
      <c r="AX26" s="96"/>
      <c r="AY26" s="96"/>
      <c r="AZ26" s="96"/>
      <c r="BA26" s="96"/>
      <c r="BB26" s="96"/>
      <c r="BC26" s="96"/>
      <c r="BD26" s="96"/>
    </row>
    <row r="27" spans="1:56" x14ac:dyDescent="0.2">
      <c r="A27" s="97" t="str">
        <f>'4...Earthwrk'!B85</f>
        <v>Haul waste material</v>
      </c>
      <c r="B27" s="157" t="str">
        <f>'4...Earthwrk'!C85</f>
        <v>Front RP 8750 to 8850</v>
      </c>
      <c r="C27" s="157" t="str">
        <f>'4...Earthwrk'!D85</f>
        <v>Pit Repository 8650 to 8770</v>
      </c>
      <c r="D27" s="100">
        <f>'3...Material'!G84</f>
        <v>793</v>
      </c>
      <c r="E27" s="28">
        <f>'4...Earthwrk'!G85</f>
        <v>687000</v>
      </c>
      <c r="F27" s="176">
        <f t="shared" si="11"/>
        <v>14.117999977487248</v>
      </c>
      <c r="G27" s="150">
        <v>5</v>
      </c>
      <c r="H27" s="28">
        <f>AJ27*L27*'8...Loader'!D27*G27/F27*AK27</f>
        <v>1824.8236323191534</v>
      </c>
      <c r="I27" s="29">
        <f>IF(E27/H27&lt;'8...Loader'!$G27,'8...Loader'!$G27,E27/H27)</f>
        <v>381.39466746582838</v>
      </c>
      <c r="J27" s="156"/>
      <c r="K27" s="156">
        <v>130</v>
      </c>
      <c r="L27" s="29">
        <f>IF(TRUNC(J27/'8...Loader'!D27)&lt;TRUNC(K27/'8...Loader'!D27),TRUNC(K27/'8...Loader'!D27),TRUNC(J27/'8...Loader'!D27))</f>
        <v>3</v>
      </c>
      <c r="M27" s="150">
        <f>'3...Material'!E84</f>
        <v>13620</v>
      </c>
      <c r="N27" s="397">
        <v>3810</v>
      </c>
      <c r="O27" s="398">
        <v>0</v>
      </c>
      <c r="P27" s="397">
        <v>1300</v>
      </c>
      <c r="Q27" s="399">
        <v>-0.1</v>
      </c>
      <c r="R27" s="397">
        <v>1700</v>
      </c>
      <c r="S27" s="398">
        <v>0.01</v>
      </c>
      <c r="T27" s="397"/>
      <c r="U27" s="398"/>
      <c r="V27" s="177">
        <v>0.04</v>
      </c>
      <c r="W27" s="37">
        <f t="shared" si="2"/>
        <v>0.04</v>
      </c>
      <c r="X27" s="37">
        <f t="shared" si="3"/>
        <v>-6.0000000000000005E-2</v>
      </c>
      <c r="Y27" s="37">
        <f t="shared" si="4"/>
        <v>0.05</v>
      </c>
      <c r="Z27" s="37">
        <f t="shared" si="5"/>
        <v>0.04</v>
      </c>
      <c r="AA27" s="37">
        <f t="shared" si="6"/>
        <v>0.04</v>
      </c>
      <c r="AB27" s="37">
        <f t="shared" si="7"/>
        <v>0.03</v>
      </c>
      <c r="AC27" s="37">
        <f t="shared" si="8"/>
        <v>0.14000000000000001</v>
      </c>
      <c r="AD27" s="37">
        <f t="shared" si="9"/>
        <v>0.04</v>
      </c>
      <c r="AE27" s="156">
        <f t="shared" si="10"/>
        <v>4.5274999999999999</v>
      </c>
      <c r="AF27" s="156">
        <f t="shared" si="1"/>
        <v>3.73</v>
      </c>
      <c r="AG27" s="156">
        <f>'8...Loader'!E27*L27</f>
        <v>2.8604999774872466</v>
      </c>
      <c r="AH27" s="170">
        <v>1.5</v>
      </c>
      <c r="AI27" s="170">
        <v>1.5</v>
      </c>
      <c r="AJ27" s="158">
        <v>54</v>
      </c>
      <c r="AK27" s="154">
        <v>0.93</v>
      </c>
      <c r="AL27" s="170">
        <v>0.75</v>
      </c>
      <c r="AM27" s="170">
        <v>0.5</v>
      </c>
      <c r="AN27" s="170">
        <v>0.6</v>
      </c>
      <c r="AO27" s="170">
        <v>0.5</v>
      </c>
      <c r="AP27" s="170">
        <v>0.5</v>
      </c>
      <c r="AQ27" s="170">
        <v>0.5</v>
      </c>
      <c r="AR27" s="170">
        <v>0.75</v>
      </c>
      <c r="AS27" s="170">
        <v>0.5</v>
      </c>
      <c r="AT27" s="96"/>
      <c r="AU27" s="96"/>
      <c r="AV27" s="96"/>
      <c r="AW27" s="96"/>
      <c r="AX27" s="96"/>
      <c r="AY27" s="96"/>
      <c r="AZ27" s="96"/>
      <c r="BA27" s="96"/>
      <c r="BB27" s="96"/>
      <c r="BC27" s="96"/>
      <c r="BD27" s="96"/>
    </row>
    <row r="28" spans="1:56" x14ac:dyDescent="0.2">
      <c r="A28" s="97" t="str">
        <f>'4...Earthwrk'!B86</f>
        <v>Haul waste material</v>
      </c>
      <c r="B28" s="157" t="str">
        <f>'4...Earthwrk'!C86</f>
        <v>Front RP 8650 to 8750</v>
      </c>
      <c r="C28" s="157" t="str">
        <f>'4...Earthwrk'!D86</f>
        <v>Pit Repository 8650 to 8770</v>
      </c>
      <c r="D28" s="100">
        <f>'3...Material'!G85</f>
        <v>793</v>
      </c>
      <c r="E28" s="28">
        <f>'4...Earthwrk'!G86</f>
        <v>1152000</v>
      </c>
      <c r="F28" s="176">
        <f t="shared" si="11"/>
        <v>14.097999977487248</v>
      </c>
      <c r="G28" s="150">
        <v>5</v>
      </c>
      <c r="H28" s="28">
        <f>AJ28*L28*'8...Loader'!D28*G28/F28*AK28</f>
        <v>1827.4124018399834</v>
      </c>
      <c r="I28" s="29">
        <f>IF(E28/H28&lt;'8...Loader'!$G28,'8...Loader'!$G28,E28/H28)</f>
        <v>639.54389653658563</v>
      </c>
      <c r="J28" s="156"/>
      <c r="K28" s="156">
        <v>130</v>
      </c>
      <c r="L28" s="29">
        <f>IF(TRUNC(J28/'8...Loader'!D28)&lt;TRUNC(K28/'8...Loader'!D28),TRUNC(K28/'8...Loader'!D28),TRUNC(J28/'8...Loader'!D28))</f>
        <v>3</v>
      </c>
      <c r="M28" s="150">
        <f>'3...Material'!E85</f>
        <v>14020</v>
      </c>
      <c r="N28" s="397">
        <v>5010</v>
      </c>
      <c r="O28" s="398">
        <v>0</v>
      </c>
      <c r="P28" s="397">
        <v>1700</v>
      </c>
      <c r="Q28" s="399">
        <v>0.01</v>
      </c>
      <c r="R28" s="397">
        <v>300</v>
      </c>
      <c r="S28" s="398">
        <v>-0.1</v>
      </c>
      <c r="T28" s="397"/>
      <c r="U28" s="398"/>
      <c r="V28" s="177">
        <v>0.04</v>
      </c>
      <c r="W28" s="37">
        <f t="shared" si="2"/>
        <v>0.04</v>
      </c>
      <c r="X28" s="37">
        <f t="shared" si="3"/>
        <v>0.05</v>
      </c>
      <c r="Y28" s="37">
        <f t="shared" si="4"/>
        <v>-6.0000000000000005E-2</v>
      </c>
      <c r="Z28" s="37">
        <f t="shared" si="5"/>
        <v>0.04</v>
      </c>
      <c r="AA28" s="37">
        <f t="shared" si="6"/>
        <v>0.04</v>
      </c>
      <c r="AB28" s="37">
        <f t="shared" si="7"/>
        <v>0.14000000000000001</v>
      </c>
      <c r="AC28" s="37">
        <f t="shared" si="8"/>
        <v>0.03</v>
      </c>
      <c r="AD28" s="37">
        <f t="shared" si="9"/>
        <v>0.04</v>
      </c>
      <c r="AE28" s="156">
        <f t="shared" si="10"/>
        <v>4.6574999999999998</v>
      </c>
      <c r="AF28" s="156">
        <f t="shared" si="1"/>
        <v>3.58</v>
      </c>
      <c r="AG28" s="156">
        <f>'8...Loader'!E28*L28</f>
        <v>2.8604999774872466</v>
      </c>
      <c r="AH28" s="170">
        <v>1.5</v>
      </c>
      <c r="AI28" s="170">
        <v>1.5</v>
      </c>
      <c r="AJ28" s="158">
        <v>54</v>
      </c>
      <c r="AK28" s="154">
        <v>0.93</v>
      </c>
      <c r="AL28" s="170">
        <v>0.75</v>
      </c>
      <c r="AM28" s="170">
        <v>0.45</v>
      </c>
      <c r="AN28" s="170">
        <v>0.45</v>
      </c>
      <c r="AO28" s="170">
        <v>0.45</v>
      </c>
      <c r="AP28" s="170">
        <v>0.5</v>
      </c>
      <c r="AQ28" s="170">
        <v>0.75</v>
      </c>
      <c r="AR28" s="170">
        <v>0.5</v>
      </c>
      <c r="AS28" s="170">
        <v>0.5</v>
      </c>
      <c r="AT28" s="96"/>
      <c r="AU28" s="96"/>
      <c r="AV28" s="96"/>
      <c r="AW28" s="96"/>
      <c r="AX28" s="96"/>
      <c r="AY28" s="96"/>
      <c r="AZ28" s="96"/>
      <c r="BA28" s="96"/>
      <c r="BB28" s="96"/>
      <c r="BC28" s="96"/>
      <c r="BD28" s="96"/>
    </row>
    <row r="29" spans="1:56" x14ac:dyDescent="0.2">
      <c r="A29" s="97" t="str">
        <f>'4...Earthwrk'!B87</f>
        <v>Haul waste material</v>
      </c>
      <c r="B29" s="157" t="str">
        <f>'4...Earthwrk'!C87</f>
        <v>Front RP 9350 and above</v>
      </c>
      <c r="C29" s="157" t="str">
        <f>'4...Earthwrk'!D87</f>
        <v>Pit Repository Top</v>
      </c>
      <c r="D29" s="100">
        <f>'3...Material'!G86</f>
        <v>793</v>
      </c>
      <c r="E29" s="28">
        <f>'4...Earthwrk'!G87</f>
        <v>1240000</v>
      </c>
      <c r="F29" s="176">
        <f t="shared" si="11"/>
        <v>7.2604999774872461</v>
      </c>
      <c r="G29" s="150">
        <v>2</v>
      </c>
      <c r="H29" s="28">
        <f>AJ29*L29*'8...Loader'!D29*G29/F29*AK29</f>
        <v>1419.3435757803643</v>
      </c>
      <c r="I29" s="29">
        <f>IF(E29/H29&lt;'8...Loader'!$G29,'8...Loader'!$G29,E29/H29)</f>
        <v>873.64329621053162</v>
      </c>
      <c r="J29" s="156"/>
      <c r="K29" s="156">
        <v>130</v>
      </c>
      <c r="L29" s="29">
        <f>IF(TRUNC(J29/'8...Loader'!D29)&lt;TRUNC(K29/'8...Loader'!D29),TRUNC(K29/'8...Loader'!D29),TRUNC(J29/'8...Loader'!D29))</f>
        <v>3</v>
      </c>
      <c r="M29" s="150">
        <f>'3...Material'!E86</f>
        <v>3000</v>
      </c>
      <c r="N29" s="397">
        <v>500</v>
      </c>
      <c r="O29" s="398">
        <v>0</v>
      </c>
      <c r="P29" s="397">
        <v>1000</v>
      </c>
      <c r="Q29" s="399">
        <v>-0.1</v>
      </c>
      <c r="R29" s="397"/>
      <c r="S29" s="398"/>
      <c r="T29" s="397"/>
      <c r="U29" s="398"/>
      <c r="V29" s="177">
        <v>0.04</v>
      </c>
      <c r="W29" s="37">
        <f t="shared" si="2"/>
        <v>0.04</v>
      </c>
      <c r="X29" s="37">
        <f t="shared" si="3"/>
        <v>-6.0000000000000005E-2</v>
      </c>
      <c r="Y29" s="37">
        <f t="shared" si="4"/>
        <v>0.04</v>
      </c>
      <c r="Z29" s="37">
        <f t="shared" si="5"/>
        <v>0.04</v>
      </c>
      <c r="AA29" s="37">
        <f t="shared" si="6"/>
        <v>0.04</v>
      </c>
      <c r="AB29" s="37">
        <f t="shared" si="7"/>
        <v>0.04</v>
      </c>
      <c r="AC29" s="37">
        <f t="shared" si="8"/>
        <v>0.14000000000000001</v>
      </c>
      <c r="AD29" s="37">
        <f t="shared" si="9"/>
        <v>0.04</v>
      </c>
      <c r="AE29" s="156">
        <f t="shared" si="10"/>
        <v>0.67500000000000004</v>
      </c>
      <c r="AF29" s="156">
        <f t="shared" si="1"/>
        <v>0.72499999999999998</v>
      </c>
      <c r="AG29" s="156">
        <f>'8...Loader'!E29*L29</f>
        <v>2.8604999774872466</v>
      </c>
      <c r="AH29" s="170">
        <v>1.5</v>
      </c>
      <c r="AI29" s="170">
        <v>1.5</v>
      </c>
      <c r="AJ29" s="158">
        <v>54</v>
      </c>
      <c r="AK29" s="154">
        <v>0.93</v>
      </c>
      <c r="AL29" s="170">
        <v>0.45</v>
      </c>
      <c r="AM29" s="170">
        <v>0.45</v>
      </c>
      <c r="AN29" s="170">
        <v>0.45</v>
      </c>
      <c r="AO29" s="170">
        <v>0.45</v>
      </c>
      <c r="AP29" s="170">
        <v>0.45</v>
      </c>
      <c r="AQ29" s="170">
        <v>0.45</v>
      </c>
      <c r="AR29" s="170">
        <v>0.5</v>
      </c>
      <c r="AS29" s="170">
        <v>0.45</v>
      </c>
      <c r="AT29" s="96"/>
      <c r="AU29" s="96"/>
      <c r="AV29" s="96"/>
      <c r="AW29" s="96"/>
      <c r="AX29" s="96"/>
      <c r="AY29" s="96"/>
      <c r="AZ29" s="96"/>
      <c r="BA29" s="96"/>
      <c r="BB29" s="96"/>
      <c r="BC29" s="96"/>
      <c r="BD29" s="96"/>
    </row>
    <row r="30" spans="1:56" x14ac:dyDescent="0.2">
      <c r="A30" s="97" t="str">
        <f>'4...Earthwrk'!B88</f>
        <v>Haul waste material</v>
      </c>
      <c r="B30" s="157" t="str">
        <f>'4...Earthwrk'!C88</f>
        <v>Spring Gulch RP</v>
      </c>
      <c r="C30" s="157" t="str">
        <f>'4...Earthwrk'!D88</f>
        <v>Blind Gulch RP</v>
      </c>
      <c r="D30" s="100">
        <f>'3...Material'!G87</f>
        <v>777</v>
      </c>
      <c r="E30" s="28">
        <f>'4...Earthwrk'!G88</f>
        <v>750000</v>
      </c>
      <c r="F30" s="176">
        <f t="shared" ref="F30:F59" si="12">SUM(AE30:AI30)</f>
        <v>14.6</v>
      </c>
      <c r="G30" s="150">
        <v>4</v>
      </c>
      <c r="H30" s="28">
        <f>AJ30*L30*'8...Loader'!D30*G30/F30*AK30</f>
        <v>713.26158904109604</v>
      </c>
      <c r="I30" s="29">
        <f>IF(E30/H30&lt;'8...Loader'!$G30,'8...Loader'!$G30,E30/H30)</f>
        <v>1051.5076257061519</v>
      </c>
      <c r="J30" s="156"/>
      <c r="K30" s="156">
        <v>55</v>
      </c>
      <c r="L30" s="29">
        <f>IF(TRUNC(J30/'8...Loader'!D30)&lt;TRUNC(K30/'8...Loader'!D30),TRUNC(K30/'8...Loader'!D30),TRUNC(J30/'8...Loader'!D30))</f>
        <v>4</v>
      </c>
      <c r="M30" s="150">
        <f>'3...Material'!E87</f>
        <v>8000</v>
      </c>
      <c r="N30" s="397">
        <v>4000</v>
      </c>
      <c r="O30" s="398">
        <v>0</v>
      </c>
      <c r="P30" s="397"/>
      <c r="Q30" s="399"/>
      <c r="R30" s="397"/>
      <c r="S30" s="398"/>
      <c r="T30" s="397"/>
      <c r="U30" s="398"/>
      <c r="V30" s="177">
        <v>0.04</v>
      </c>
      <c r="W30" s="37">
        <f t="shared" si="2"/>
        <v>0.04</v>
      </c>
      <c r="X30" s="37">
        <f t="shared" si="3"/>
        <v>0.04</v>
      </c>
      <c r="Y30" s="37">
        <f t="shared" si="4"/>
        <v>0.04</v>
      </c>
      <c r="Z30" s="37">
        <f t="shared" si="5"/>
        <v>0.04</v>
      </c>
      <c r="AA30" s="37">
        <f t="shared" si="6"/>
        <v>0.04</v>
      </c>
      <c r="AB30" s="37">
        <f t="shared" si="7"/>
        <v>0.04</v>
      </c>
      <c r="AC30" s="37">
        <f t="shared" si="8"/>
        <v>0.04</v>
      </c>
      <c r="AD30" s="37">
        <f t="shared" si="9"/>
        <v>0.04</v>
      </c>
      <c r="AE30" s="156">
        <f t="shared" si="10"/>
        <v>4</v>
      </c>
      <c r="AF30" s="156">
        <f t="shared" si="1"/>
        <v>4</v>
      </c>
      <c r="AG30" s="156">
        <f>'8...Loader'!E30*L30</f>
        <v>3.5999999999999996</v>
      </c>
      <c r="AH30" s="170">
        <v>1.5</v>
      </c>
      <c r="AI30" s="170">
        <v>1.5</v>
      </c>
      <c r="AJ30" s="158">
        <v>54</v>
      </c>
      <c r="AK30" s="154">
        <v>0.93</v>
      </c>
      <c r="AL30" s="170">
        <v>1</v>
      </c>
      <c r="AM30" s="170"/>
      <c r="AN30" s="170"/>
      <c r="AO30" s="170"/>
      <c r="AP30" s="170"/>
      <c r="AQ30" s="170"/>
      <c r="AR30" s="170"/>
      <c r="AS30" s="170">
        <v>1</v>
      </c>
      <c r="AT30" s="96"/>
      <c r="AU30" s="96"/>
      <c r="AV30" s="96"/>
      <c r="AW30" s="96"/>
      <c r="AX30" s="96"/>
      <c r="AY30" s="96"/>
      <c r="AZ30" s="96"/>
      <c r="BA30" s="96"/>
      <c r="BB30" s="96"/>
      <c r="BC30" s="96"/>
      <c r="BD30" s="96"/>
    </row>
    <row r="31" spans="1:56" x14ac:dyDescent="0.2">
      <c r="A31" s="97" t="str">
        <f>'4...Earthwrk'!B89</f>
        <v>Haul waste material</v>
      </c>
      <c r="B31" s="157" t="str">
        <f>'4...Earthwrk'!C89</f>
        <v>Spring Gulch RP</v>
      </c>
      <c r="C31" s="157" t="str">
        <f>'4...Earthwrk'!D89</f>
        <v>Pit Repository</v>
      </c>
      <c r="D31" s="100">
        <f>'3...Material'!G88</f>
        <v>777</v>
      </c>
      <c r="E31" s="28">
        <f>'4...Earthwrk'!G89</f>
        <v>4900000</v>
      </c>
      <c r="F31" s="176">
        <f t="shared" si="12"/>
        <v>27.78</v>
      </c>
      <c r="G31" s="150">
        <v>9</v>
      </c>
      <c r="H31" s="28">
        <f>AJ31*L31*'8...Loader'!D31*G31/F31*AK31</f>
        <v>843.43568034557245</v>
      </c>
      <c r="I31" s="29">
        <f>IF(E31/H31&lt;'8...Loader'!$G31,'8...Loader'!$G31,E31/H31)</f>
        <v>6775.7422894818346</v>
      </c>
      <c r="J31" s="156"/>
      <c r="K31" s="156">
        <v>55</v>
      </c>
      <c r="L31" s="29">
        <f>IF(TRUNC(J31/'8...Loader'!D31)&lt;TRUNC(K31/'8...Loader'!D31),TRUNC(K31/'8...Loader'!D31),TRUNC(J31/'8...Loader'!D31))</f>
        <v>4</v>
      </c>
      <c r="M31" s="150">
        <f>'3...Material'!E88</f>
        <v>23520</v>
      </c>
      <c r="N31" s="397">
        <v>2000</v>
      </c>
      <c r="O31" s="398">
        <v>-0.1</v>
      </c>
      <c r="P31" s="397">
        <v>6000</v>
      </c>
      <c r="Q31" s="399">
        <v>0.03</v>
      </c>
      <c r="R31" s="397">
        <v>1320</v>
      </c>
      <c r="S31" s="398">
        <v>0.1</v>
      </c>
      <c r="T31" s="397">
        <v>2440</v>
      </c>
      <c r="U31" s="398">
        <v>0.06</v>
      </c>
      <c r="V31" s="177">
        <v>0.04</v>
      </c>
      <c r="W31" s="37">
        <f t="shared" si="2"/>
        <v>-6.0000000000000005E-2</v>
      </c>
      <c r="X31" s="37">
        <f t="shared" si="3"/>
        <v>7.0000000000000007E-2</v>
      </c>
      <c r="Y31" s="37">
        <f t="shared" si="4"/>
        <v>0.14000000000000001</v>
      </c>
      <c r="Z31" s="37">
        <f t="shared" si="5"/>
        <v>0.1</v>
      </c>
      <c r="AA31" s="37">
        <f t="shared" si="6"/>
        <v>-1.9999999999999997E-2</v>
      </c>
      <c r="AB31" s="37">
        <f t="shared" si="7"/>
        <v>-6.0000000000000005E-2</v>
      </c>
      <c r="AC31" s="37">
        <f t="shared" si="8"/>
        <v>1.0000000000000002E-2</v>
      </c>
      <c r="AD31" s="37">
        <f t="shared" si="9"/>
        <v>0.14000000000000001</v>
      </c>
      <c r="AE31" s="156">
        <f t="shared" si="10"/>
        <v>14.3</v>
      </c>
      <c r="AF31" s="156">
        <f t="shared" si="1"/>
        <v>6.88</v>
      </c>
      <c r="AG31" s="156">
        <f>'8...Loader'!E31*L31</f>
        <v>3.5999999999999996</v>
      </c>
      <c r="AH31" s="170">
        <v>1.5</v>
      </c>
      <c r="AI31" s="170">
        <v>1.5</v>
      </c>
      <c r="AJ31" s="158">
        <v>54</v>
      </c>
      <c r="AK31" s="154">
        <v>0.93</v>
      </c>
      <c r="AL31" s="170">
        <v>1</v>
      </c>
      <c r="AM31" s="170">
        <v>1</v>
      </c>
      <c r="AN31" s="170">
        <v>2</v>
      </c>
      <c r="AO31" s="170">
        <v>1.5</v>
      </c>
      <c r="AP31" s="170">
        <v>0.5</v>
      </c>
      <c r="AQ31" s="170">
        <v>0.5</v>
      </c>
      <c r="AR31" s="170">
        <v>0.5</v>
      </c>
      <c r="AS31" s="170">
        <v>1</v>
      </c>
      <c r="AT31" s="96"/>
      <c r="AU31" s="96"/>
      <c r="AV31" s="96"/>
      <c r="AW31" s="96"/>
      <c r="AX31" s="96"/>
      <c r="AY31" s="96"/>
      <c r="AZ31" s="96"/>
      <c r="BA31" s="96"/>
      <c r="BB31" s="96"/>
      <c r="BC31" s="96"/>
      <c r="BD31" s="96"/>
    </row>
    <row r="32" spans="1:56" x14ac:dyDescent="0.2">
      <c r="A32" s="97" t="str">
        <f>'4...Earthwrk'!B90</f>
        <v>Haul waste material</v>
      </c>
      <c r="B32" s="157" t="str">
        <f>'4...Earthwrk'!C90</f>
        <v>Blind Gulch RP</v>
      </c>
      <c r="C32" s="157" t="str">
        <f>'4...Earthwrk'!D90</f>
        <v>Blind Gulch RP</v>
      </c>
      <c r="D32" s="100">
        <f>'3...Material'!G89</f>
        <v>777</v>
      </c>
      <c r="E32" s="28">
        <f>'4...Earthwrk'!G90</f>
        <v>2269500</v>
      </c>
      <c r="F32" s="176">
        <f t="shared" si="12"/>
        <v>7.9499999999999993</v>
      </c>
      <c r="G32" s="150">
        <v>2</v>
      </c>
      <c r="H32" s="28">
        <f>AJ32*L32*'8...Loader'!D32*G32/F32*AK32</f>
        <v>654.94460377358507</v>
      </c>
      <c r="I32" s="29">
        <f>IF(E32/H32&lt;'8...Loader'!$G32,'8...Loader'!$G32,E32/H32)</f>
        <v>3465.178561551395</v>
      </c>
      <c r="J32" s="156"/>
      <c r="K32" s="156">
        <v>55</v>
      </c>
      <c r="L32" s="29">
        <f>IF(TRUNC(J32/'8...Loader'!D32)&lt;TRUNC(K32/'8...Loader'!D32),TRUNC(K32/'8...Loader'!D32),TRUNC(J32/'8...Loader'!D32))</f>
        <v>4</v>
      </c>
      <c r="M32" s="150">
        <f>'3...Material'!E89</f>
        <v>3000</v>
      </c>
      <c r="N32" s="397">
        <v>1500</v>
      </c>
      <c r="O32" s="398">
        <v>0.05</v>
      </c>
      <c r="P32" s="397"/>
      <c r="Q32" s="399"/>
      <c r="R32" s="397"/>
      <c r="S32" s="398"/>
      <c r="T32" s="397"/>
      <c r="U32" s="398"/>
      <c r="V32" s="177">
        <v>0.04</v>
      </c>
      <c r="W32" s="37">
        <f t="shared" si="2"/>
        <v>0.09</v>
      </c>
      <c r="X32" s="37">
        <f t="shared" si="3"/>
        <v>0.04</v>
      </c>
      <c r="Y32" s="37">
        <f t="shared" si="4"/>
        <v>0.04</v>
      </c>
      <c r="Z32" s="37">
        <f t="shared" si="5"/>
        <v>0.04</v>
      </c>
      <c r="AA32" s="37">
        <f t="shared" si="6"/>
        <v>0.04</v>
      </c>
      <c r="AB32" s="37">
        <f t="shared" si="7"/>
        <v>0.04</v>
      </c>
      <c r="AC32" s="37">
        <f t="shared" si="8"/>
        <v>0.04</v>
      </c>
      <c r="AD32" s="37">
        <f t="shared" si="9"/>
        <v>-1.0000000000000002E-2</v>
      </c>
      <c r="AE32" s="156">
        <f t="shared" si="10"/>
        <v>0.67500000000000004</v>
      </c>
      <c r="AF32" s="156">
        <f t="shared" si="1"/>
        <v>0.67500000000000004</v>
      </c>
      <c r="AG32" s="156">
        <f>'8...Loader'!E32*L32</f>
        <v>3.5999999999999996</v>
      </c>
      <c r="AH32" s="170">
        <v>1.5</v>
      </c>
      <c r="AI32" s="170">
        <v>1.5</v>
      </c>
      <c r="AJ32" s="158">
        <v>54</v>
      </c>
      <c r="AK32" s="154">
        <v>0.93</v>
      </c>
      <c r="AL32" s="170">
        <v>0.45</v>
      </c>
      <c r="AM32" s="170"/>
      <c r="AN32" s="170"/>
      <c r="AO32" s="170"/>
      <c r="AP32" s="170"/>
      <c r="AQ32" s="170"/>
      <c r="AR32" s="170"/>
      <c r="AS32" s="170">
        <v>0.45</v>
      </c>
      <c r="AT32" s="96"/>
      <c r="AU32" s="96"/>
      <c r="AV32" s="96"/>
      <c r="AW32" s="96"/>
      <c r="AX32" s="96"/>
      <c r="AY32" s="96"/>
      <c r="AZ32" s="96"/>
      <c r="BA32" s="96"/>
      <c r="BB32" s="96"/>
      <c r="BC32" s="96"/>
      <c r="BD32" s="96"/>
    </row>
    <row r="33" spans="1:56" x14ac:dyDescent="0.2">
      <c r="A33" s="97" t="str">
        <f>'4...Earthwrk'!B91</f>
        <v>Haul waste material</v>
      </c>
      <c r="B33" s="157" t="str">
        <f>'4...Earthwrk'!C91</f>
        <v>Front RP</v>
      </c>
      <c r="C33" s="157" t="str">
        <f>'4...Earthwrk'!D91</f>
        <v>Front RP</v>
      </c>
      <c r="D33" s="100">
        <f>'3...Material'!G90</f>
        <v>777</v>
      </c>
      <c r="E33" s="28">
        <f>'4...Earthwrk'!G91</f>
        <v>1450000</v>
      </c>
      <c r="F33" s="176">
        <f t="shared" si="12"/>
        <v>10.35</v>
      </c>
      <c r="G33" s="150">
        <v>3</v>
      </c>
      <c r="H33" s="28">
        <f>AJ33*L33*'8...Loader'!D33*G33/F33*AK33</f>
        <v>754.61008695652185</v>
      </c>
      <c r="I33" s="29">
        <f>IF(E33/H33&lt;'8...Loader'!$G33,'8...Loader'!$G33,E33/H33)</f>
        <v>2005.0665958670734</v>
      </c>
      <c r="J33" s="156"/>
      <c r="K33" s="156">
        <v>55</v>
      </c>
      <c r="L33" s="29">
        <f>IF(TRUNC(J33/'8...Loader'!D33)&lt;TRUNC(K33/'8...Loader'!D33),TRUNC(K33/'8...Loader'!D33),TRUNC(J33/'8...Loader'!D33))</f>
        <v>4</v>
      </c>
      <c r="M33" s="150">
        <f>'3...Material'!E90</f>
        <v>5000</v>
      </c>
      <c r="N33" s="397">
        <v>2500</v>
      </c>
      <c r="O33" s="398">
        <v>-0.1</v>
      </c>
      <c r="P33" s="397"/>
      <c r="Q33" s="399"/>
      <c r="R33" s="397"/>
      <c r="S33" s="398"/>
      <c r="T33" s="397"/>
      <c r="U33" s="398"/>
      <c r="V33" s="177">
        <v>0.04</v>
      </c>
      <c r="W33" s="37">
        <f t="shared" si="2"/>
        <v>-6.0000000000000005E-2</v>
      </c>
      <c r="X33" s="37">
        <f t="shared" si="3"/>
        <v>0.04</v>
      </c>
      <c r="Y33" s="37">
        <f t="shared" si="4"/>
        <v>0.04</v>
      </c>
      <c r="Z33" s="37">
        <f t="shared" si="5"/>
        <v>0.04</v>
      </c>
      <c r="AA33" s="37">
        <f t="shared" si="6"/>
        <v>0.04</v>
      </c>
      <c r="AB33" s="37">
        <f t="shared" si="7"/>
        <v>0.04</v>
      </c>
      <c r="AC33" s="37">
        <f t="shared" si="8"/>
        <v>0.04</v>
      </c>
      <c r="AD33" s="37">
        <f t="shared" si="9"/>
        <v>0.14000000000000001</v>
      </c>
      <c r="AE33" s="156">
        <f t="shared" si="10"/>
        <v>1.875</v>
      </c>
      <c r="AF33" s="156">
        <f t="shared" si="1"/>
        <v>1.875</v>
      </c>
      <c r="AG33" s="156">
        <f>'8...Loader'!E33*L33</f>
        <v>3.5999999999999996</v>
      </c>
      <c r="AH33" s="170">
        <v>1.5</v>
      </c>
      <c r="AI33" s="170">
        <v>1.5</v>
      </c>
      <c r="AJ33" s="158">
        <v>54</v>
      </c>
      <c r="AK33" s="154">
        <v>0.93</v>
      </c>
      <c r="AL33" s="170">
        <v>0.75</v>
      </c>
      <c r="AM33" s="170"/>
      <c r="AN33" s="170"/>
      <c r="AO33" s="170"/>
      <c r="AP33" s="170"/>
      <c r="AQ33" s="170"/>
      <c r="AR33" s="170"/>
      <c r="AS33" s="170">
        <v>0.75</v>
      </c>
      <c r="AT33" s="96"/>
      <c r="AU33" s="96"/>
      <c r="AV33" s="96"/>
      <c r="AW33" s="96"/>
      <c r="AX33" s="96"/>
      <c r="AY33" s="96"/>
      <c r="AZ33" s="96"/>
      <c r="BA33" s="96"/>
      <c r="BB33" s="96"/>
      <c r="BC33" s="96"/>
      <c r="BD33" s="96"/>
    </row>
    <row r="34" spans="1:56" x14ac:dyDescent="0.2">
      <c r="A34" s="97" t="str">
        <f>'4...Earthwrk'!B92</f>
        <v>Haul waste material</v>
      </c>
      <c r="B34" s="157" t="str">
        <f>'4...Earthwrk'!C92</f>
        <v>Front RP</v>
      </c>
      <c r="C34" s="157" t="str">
        <f>'4...Earthwrk'!D92</f>
        <v>Pit Repository</v>
      </c>
      <c r="D34" s="100">
        <f>'3...Material'!G91</f>
        <v>777</v>
      </c>
      <c r="E34" s="28">
        <f>'4...Earthwrk'!G92</f>
        <v>800000</v>
      </c>
      <c r="F34" s="176">
        <f t="shared" si="12"/>
        <v>24.827999999999996</v>
      </c>
      <c r="G34" s="150">
        <v>7</v>
      </c>
      <c r="H34" s="28">
        <f>AJ34*L34*'8...Loader'!D34*G34/F34*AK34</f>
        <v>734.00328661188996</v>
      </c>
      <c r="I34" s="29">
        <f>IF(E34/H34&lt;'8...Loader'!$G34,'8...Loader'!$G34,E34/H34)</f>
        <v>1106.2436390990749</v>
      </c>
      <c r="J34" s="156"/>
      <c r="K34" s="156">
        <v>55</v>
      </c>
      <c r="L34" s="29">
        <f>IF(TRUNC(J34/'8...Loader'!D34)&lt;TRUNC(K34/'8...Loader'!D34),TRUNC(K34/'8...Loader'!D34),TRUNC(J34/'8...Loader'!D34))</f>
        <v>4</v>
      </c>
      <c r="M34" s="150">
        <f>'3...Material'!E91</f>
        <v>18620</v>
      </c>
      <c r="N34" s="397">
        <v>6290</v>
      </c>
      <c r="O34" s="398">
        <v>0</v>
      </c>
      <c r="P34" s="397">
        <v>1800</v>
      </c>
      <c r="Q34" s="399">
        <v>-0.1</v>
      </c>
      <c r="R34" s="397">
        <v>1320</v>
      </c>
      <c r="S34" s="398">
        <v>0.1</v>
      </c>
      <c r="T34" s="397"/>
      <c r="U34" s="398"/>
      <c r="V34" s="177">
        <v>0.04</v>
      </c>
      <c r="W34" s="37">
        <f t="shared" si="2"/>
        <v>0.04</v>
      </c>
      <c r="X34" s="37">
        <f t="shared" si="3"/>
        <v>-6.0000000000000005E-2</v>
      </c>
      <c r="Y34" s="37">
        <f t="shared" si="4"/>
        <v>0.14000000000000001</v>
      </c>
      <c r="Z34" s="37">
        <f t="shared" si="5"/>
        <v>0.04</v>
      </c>
      <c r="AA34" s="37">
        <f t="shared" si="6"/>
        <v>0.04</v>
      </c>
      <c r="AB34" s="37">
        <f t="shared" si="7"/>
        <v>-6.0000000000000005E-2</v>
      </c>
      <c r="AC34" s="37">
        <f t="shared" si="8"/>
        <v>0.14000000000000001</v>
      </c>
      <c r="AD34" s="37">
        <f t="shared" si="9"/>
        <v>0.04</v>
      </c>
      <c r="AE34" s="156">
        <f t="shared" si="10"/>
        <v>8.847999999999999</v>
      </c>
      <c r="AF34" s="156">
        <f t="shared" si="1"/>
        <v>9.379999999999999</v>
      </c>
      <c r="AG34" s="156">
        <f>'8...Loader'!E34*L34</f>
        <v>3.5999999999999996</v>
      </c>
      <c r="AH34" s="170">
        <v>1.5</v>
      </c>
      <c r="AI34" s="170">
        <v>1.5</v>
      </c>
      <c r="AJ34" s="158">
        <v>54</v>
      </c>
      <c r="AK34" s="154">
        <v>0.93</v>
      </c>
      <c r="AL34" s="170">
        <v>0.8</v>
      </c>
      <c r="AM34" s="170">
        <v>0.8</v>
      </c>
      <c r="AN34" s="170">
        <v>1.8</v>
      </c>
      <c r="AO34" s="170"/>
      <c r="AP34" s="170"/>
      <c r="AQ34" s="170">
        <v>1.25</v>
      </c>
      <c r="AR34" s="170">
        <v>0.8</v>
      </c>
      <c r="AS34" s="170">
        <v>1</v>
      </c>
      <c r="AT34" s="96"/>
      <c r="AU34" s="96"/>
      <c r="AV34" s="96"/>
      <c r="AW34" s="96"/>
      <c r="AX34" s="96"/>
      <c r="AY34" s="96"/>
      <c r="AZ34" s="96"/>
      <c r="BA34" s="96"/>
      <c r="BB34" s="96"/>
      <c r="BC34" s="96"/>
      <c r="BD34" s="96"/>
    </row>
    <row r="35" spans="1:56" x14ac:dyDescent="0.2">
      <c r="A35" s="97" t="str">
        <f>'4...Earthwrk'!B93</f>
        <v>Haul waste material</v>
      </c>
      <c r="B35" s="157" t="str">
        <f>'4...Earthwrk'!C93</f>
        <v>Front RP Scars</v>
      </c>
      <c r="C35" s="157" t="str">
        <f>'4...Earthwrk'!D93</f>
        <v>Front RP</v>
      </c>
      <c r="D35" s="100">
        <f>'3...Material'!G92</f>
        <v>740</v>
      </c>
      <c r="E35" s="28">
        <f>'4...Earthwrk'!G93</f>
        <v>2916000</v>
      </c>
      <c r="F35" s="176">
        <f t="shared" si="12"/>
        <v>10.920000000000002</v>
      </c>
      <c r="G35" s="150">
        <v>4</v>
      </c>
      <c r="H35" s="28">
        <f>AJ35*L35*'8...Loader'!D35*G35/F35*AK35</f>
        <v>413.90109890109886</v>
      </c>
      <c r="I35" s="29">
        <f>IF(E35/H35&lt;'8...Loader'!$G35,'8...Loader'!$G35,E35/H35)</f>
        <v>7045.1612903225814</v>
      </c>
      <c r="J35" s="156"/>
      <c r="K35" s="156">
        <v>25</v>
      </c>
      <c r="L35" s="29">
        <f>IF(TRUNC(J35/'8...Loader'!D35)&lt;TRUNC(K35/'8...Loader'!D35),TRUNC(K35/'8...Loader'!D35),TRUNC(J35/'8...Loader'!D35))</f>
        <v>5</v>
      </c>
      <c r="M35" s="150">
        <f>'3...Material'!E92</f>
        <v>6600</v>
      </c>
      <c r="N35" s="397">
        <v>700</v>
      </c>
      <c r="O35" s="398">
        <v>0</v>
      </c>
      <c r="P35" s="397">
        <v>2700</v>
      </c>
      <c r="Q35" s="399">
        <v>-0.1</v>
      </c>
      <c r="R35" s="397"/>
      <c r="S35" s="398"/>
      <c r="T35" s="397"/>
      <c r="U35" s="398"/>
      <c r="V35" s="177">
        <v>0.04</v>
      </c>
      <c r="W35" s="37">
        <f t="shared" si="2"/>
        <v>0.04</v>
      </c>
      <c r="X35" s="37">
        <f t="shared" si="3"/>
        <v>-6.0000000000000005E-2</v>
      </c>
      <c r="Y35" s="37">
        <f t="shared" si="4"/>
        <v>0.04</v>
      </c>
      <c r="Z35" s="37">
        <f t="shared" si="5"/>
        <v>0.04</v>
      </c>
      <c r="AA35" s="37">
        <f t="shared" si="6"/>
        <v>0.04</v>
      </c>
      <c r="AB35" s="37">
        <f t="shared" si="7"/>
        <v>0.04</v>
      </c>
      <c r="AC35" s="37">
        <f t="shared" si="8"/>
        <v>0.14000000000000001</v>
      </c>
      <c r="AD35" s="37">
        <f t="shared" si="9"/>
        <v>0.04</v>
      </c>
      <c r="AE35" s="156">
        <f t="shared" si="10"/>
        <v>1.875</v>
      </c>
      <c r="AF35" s="156">
        <f t="shared" si="1"/>
        <v>3.4950000000000006</v>
      </c>
      <c r="AG35" s="156">
        <f>'8...Loader'!E35*L35</f>
        <v>2.5499999999999998</v>
      </c>
      <c r="AH35" s="170">
        <v>1.5</v>
      </c>
      <c r="AI35" s="170">
        <v>1.5</v>
      </c>
      <c r="AJ35" s="158">
        <v>54</v>
      </c>
      <c r="AK35" s="154">
        <v>0.93</v>
      </c>
      <c r="AL35" s="170">
        <v>0.75</v>
      </c>
      <c r="AM35" s="170">
        <v>0.5</v>
      </c>
      <c r="AN35" s="170"/>
      <c r="AO35" s="170"/>
      <c r="AP35" s="170"/>
      <c r="AQ35" s="170"/>
      <c r="AR35" s="170">
        <v>1.1000000000000001</v>
      </c>
      <c r="AS35" s="170">
        <v>0.75</v>
      </c>
      <c r="AT35" s="96"/>
      <c r="AU35" s="96"/>
      <c r="AV35" s="96"/>
      <c r="AW35" s="96"/>
      <c r="AX35" s="96"/>
      <c r="AY35" s="96"/>
      <c r="AZ35" s="96"/>
      <c r="BA35" s="96"/>
      <c r="BB35" s="96"/>
      <c r="BC35" s="96"/>
      <c r="BD35" s="96"/>
    </row>
    <row r="36" spans="1:56" x14ac:dyDescent="0.2">
      <c r="A36" s="97" t="str">
        <f>'4...Earthwrk'!B94</f>
        <v>Haul waste material</v>
      </c>
      <c r="B36" s="157" t="str">
        <f>'4...Earthwrk'!C94</f>
        <v>Sugar Shack West RP</v>
      </c>
      <c r="C36" s="157" t="str">
        <f>'4...Earthwrk'!D94</f>
        <v>Sugar Shack West RP</v>
      </c>
      <c r="D36" s="100">
        <f>'3...Material'!G93</f>
        <v>740</v>
      </c>
      <c r="E36" s="28">
        <f>'4...Earthwrk'!G94</f>
        <v>1662564</v>
      </c>
      <c r="F36" s="176">
        <f t="shared" si="12"/>
        <v>20.102</v>
      </c>
      <c r="G36" s="150">
        <v>8</v>
      </c>
      <c r="H36" s="28">
        <f>AJ36*L36*'8...Loader'!D36*G36/F36*AK36</f>
        <v>449.68659834842305</v>
      </c>
      <c r="I36" s="29">
        <f>IF(E36/H36&lt;'8...Loader'!$G36,'8...Loader'!$G36,E36/H36)</f>
        <v>3751.9697331740335</v>
      </c>
      <c r="J36" s="156"/>
      <c r="K36" s="156">
        <v>25</v>
      </c>
      <c r="L36" s="29">
        <f>IF(TRUNC(J36/'8...Loader'!D36)&lt;TRUNC(K36/'8...Loader'!D36),TRUNC(K36/'8...Loader'!D36),TRUNC(J36/'8...Loader'!D36))</f>
        <v>5</v>
      </c>
      <c r="M36" s="150">
        <f>'3...Material'!E93</f>
        <v>14552</v>
      </c>
      <c r="N36" s="397">
        <v>7276</v>
      </c>
      <c r="O36" s="398">
        <v>0.1</v>
      </c>
      <c r="P36" s="397"/>
      <c r="Q36" s="399"/>
      <c r="R36" s="397"/>
      <c r="S36" s="398"/>
      <c r="T36" s="397"/>
      <c r="U36" s="398"/>
      <c r="V36" s="177">
        <v>0.04</v>
      </c>
      <c r="W36" s="37">
        <f t="shared" si="2"/>
        <v>0.14000000000000001</v>
      </c>
      <c r="X36" s="37">
        <f t="shared" si="3"/>
        <v>0.04</v>
      </c>
      <c r="Y36" s="37">
        <f t="shared" si="4"/>
        <v>0.04</v>
      </c>
      <c r="Z36" s="37">
        <f t="shared" si="5"/>
        <v>0.04</v>
      </c>
      <c r="AA36" s="37">
        <f t="shared" si="6"/>
        <v>0.04</v>
      </c>
      <c r="AB36" s="37">
        <f t="shared" si="7"/>
        <v>0.04</v>
      </c>
      <c r="AC36" s="37">
        <f t="shared" si="8"/>
        <v>0.04</v>
      </c>
      <c r="AD36" s="37">
        <f t="shared" si="9"/>
        <v>-6.0000000000000005E-2</v>
      </c>
      <c r="AE36" s="156">
        <f t="shared" si="10"/>
        <v>7.2759999999999998</v>
      </c>
      <c r="AF36" s="156">
        <f>(T36*AP36)/1000+(R36*AQ36)/1000+(P36*AR36)/1000+(N36*AS36)/1000</f>
        <v>7.2759999999999998</v>
      </c>
      <c r="AG36" s="156">
        <f>'8...Loader'!E36*L36</f>
        <v>2.5499999999999998</v>
      </c>
      <c r="AH36" s="170">
        <v>1.5</v>
      </c>
      <c r="AI36" s="170">
        <v>1.5</v>
      </c>
      <c r="AJ36" s="158">
        <v>54</v>
      </c>
      <c r="AK36" s="154">
        <v>0.93</v>
      </c>
      <c r="AL36" s="170">
        <v>1</v>
      </c>
      <c r="AM36" s="170"/>
      <c r="AN36" s="170"/>
      <c r="AO36" s="170"/>
      <c r="AP36" s="170"/>
      <c r="AQ36" s="170"/>
      <c r="AR36" s="170"/>
      <c r="AS36" s="170">
        <v>1</v>
      </c>
      <c r="AT36" s="96"/>
      <c r="AU36" s="96"/>
      <c r="AV36" s="96"/>
      <c r="AW36" s="96"/>
      <c r="AX36" s="96"/>
      <c r="AY36" s="96"/>
      <c r="AZ36" s="96"/>
      <c r="BA36" s="96"/>
      <c r="BB36" s="96"/>
      <c r="BC36" s="96"/>
      <c r="BD36" s="96"/>
    </row>
    <row r="37" spans="1:56" x14ac:dyDescent="0.2">
      <c r="A37" s="97" t="str">
        <f>'4...Earthwrk'!B95</f>
        <v>Haul waste material</v>
      </c>
      <c r="B37" s="157" t="str">
        <f>'4...Earthwrk'!C95</f>
        <v>Goathill South RP</v>
      </c>
      <c r="C37" s="157" t="str">
        <f>'4...Earthwrk'!D95</f>
        <v>Sugar Shack West RP</v>
      </c>
      <c r="D37" s="100">
        <f>'3...Material'!G94</f>
        <v>740</v>
      </c>
      <c r="E37" s="28">
        <f>'4...Earthwrk'!G95</f>
        <v>295013</v>
      </c>
      <c r="F37" s="176">
        <f t="shared" si="12"/>
        <v>50.797999999999995</v>
      </c>
      <c r="G37" s="150">
        <v>8</v>
      </c>
      <c r="H37" s="28">
        <f>AJ37*L37*'8...Loader'!D37*G37/F37*AK37</f>
        <v>177.95188786960119</v>
      </c>
      <c r="I37" s="29">
        <f>IF(E37/H37&lt;'8...Loader'!$G37,'8...Loader'!$G37,E37/H37)</f>
        <v>1657.8245026328595</v>
      </c>
      <c r="J37" s="156"/>
      <c r="K37" s="156">
        <v>25</v>
      </c>
      <c r="L37" s="29">
        <f>IF(TRUNC(J37/'8...Loader'!D37)&lt;TRUNC(K37/'8...Loader'!D37),TRUNC(K37/'8...Loader'!D37),TRUNC(J37/'8...Loader'!D37))</f>
        <v>5</v>
      </c>
      <c r="M37" s="150">
        <f>'3...Material'!E94</f>
        <v>29820</v>
      </c>
      <c r="N37" s="397">
        <v>14910</v>
      </c>
      <c r="O37" s="398">
        <v>0.1</v>
      </c>
      <c r="P37" s="397"/>
      <c r="Q37" s="399"/>
      <c r="R37" s="397"/>
      <c r="S37" s="398"/>
      <c r="T37" s="397"/>
      <c r="U37" s="398"/>
      <c r="V37" s="177">
        <v>0.04</v>
      </c>
      <c r="W37" s="37">
        <f t="shared" si="2"/>
        <v>0.14000000000000001</v>
      </c>
      <c r="X37" s="37">
        <f t="shared" si="3"/>
        <v>0.04</v>
      </c>
      <c r="Y37" s="37">
        <f t="shared" si="4"/>
        <v>0.04</v>
      </c>
      <c r="Z37" s="37">
        <f t="shared" si="5"/>
        <v>0.04</v>
      </c>
      <c r="AA37" s="37">
        <f t="shared" si="6"/>
        <v>0.04</v>
      </c>
      <c r="AB37" s="37">
        <f t="shared" si="7"/>
        <v>0.04</v>
      </c>
      <c r="AC37" s="37">
        <f t="shared" si="8"/>
        <v>0.04</v>
      </c>
      <c r="AD37" s="37">
        <f t="shared" si="9"/>
        <v>-6.0000000000000005E-2</v>
      </c>
      <c r="AE37" s="156">
        <f t="shared" si="10"/>
        <v>20.873999999999999</v>
      </c>
      <c r="AF37" s="156">
        <f t="shared" si="1"/>
        <v>20.873999999999999</v>
      </c>
      <c r="AG37" s="156">
        <f>'8...Loader'!E37*L37</f>
        <v>2.5499999999999998</v>
      </c>
      <c r="AH37" s="170">
        <v>5</v>
      </c>
      <c r="AI37" s="170">
        <v>1.5</v>
      </c>
      <c r="AJ37" s="158">
        <v>54</v>
      </c>
      <c r="AK37" s="154">
        <v>0.93</v>
      </c>
      <c r="AL37" s="170">
        <v>1.4</v>
      </c>
      <c r="AM37" s="170"/>
      <c r="AN37" s="170"/>
      <c r="AO37" s="170"/>
      <c r="AP37" s="170"/>
      <c r="AQ37" s="170"/>
      <c r="AR37" s="170"/>
      <c r="AS37" s="170">
        <v>1.4</v>
      </c>
      <c r="AT37" s="96"/>
      <c r="AU37" s="96"/>
      <c r="AV37" s="96"/>
      <c r="AW37" s="96"/>
      <c r="AX37" s="96"/>
      <c r="AY37" s="96"/>
      <c r="AZ37" s="96"/>
      <c r="BA37" s="96"/>
      <c r="BB37" s="96"/>
      <c r="BC37" s="96"/>
      <c r="BD37" s="96"/>
    </row>
    <row r="38" spans="1:56" x14ac:dyDescent="0.2">
      <c r="A38" s="97" t="str">
        <f>'4...Earthwrk'!B96</f>
        <v>Haul waste material</v>
      </c>
      <c r="B38" s="157" t="str">
        <f>'4...Earthwrk'!C96</f>
        <v>Front RP</v>
      </c>
      <c r="C38" s="157" t="str">
        <f>'4...Earthwrk'!D96</f>
        <v>Sugar Shack West RP</v>
      </c>
      <c r="D38" s="100">
        <f>'3...Material'!G95</f>
        <v>740</v>
      </c>
      <c r="E38" s="28">
        <f>'4...Earthwrk'!G96</f>
        <v>109115</v>
      </c>
      <c r="F38" s="176">
        <f t="shared" si="12"/>
        <v>22.479900000000001</v>
      </c>
      <c r="G38" s="150">
        <v>9</v>
      </c>
      <c r="H38" s="28">
        <f>AJ38*L38*'8...Loader'!D38*G38/F38*AK38</f>
        <v>452.38412982264157</v>
      </c>
      <c r="I38" s="29">
        <f>IF(E38/H38&lt;'8...Loader'!$G38,'8...Loader'!$G38,E38/H38)</f>
        <v>246.24386034780295</v>
      </c>
      <c r="J38" s="156"/>
      <c r="K38" s="156">
        <v>25</v>
      </c>
      <c r="L38" s="29">
        <f>IF(TRUNC(J38/'8...Loader'!D38)&lt;TRUNC(K38/'8...Loader'!D38),TRUNC(K38/'8...Loader'!D38),TRUNC(J38/'8...Loader'!D38))</f>
        <v>5</v>
      </c>
      <c r="M38" s="150">
        <f>'3...Material'!E95</f>
        <v>17364</v>
      </c>
      <c r="N38" s="397">
        <v>8682</v>
      </c>
      <c r="O38" s="398">
        <v>0.1</v>
      </c>
      <c r="P38" s="397"/>
      <c r="Q38" s="399"/>
      <c r="R38" s="397"/>
      <c r="S38" s="398"/>
      <c r="T38" s="397"/>
      <c r="U38" s="398"/>
      <c r="V38" s="177">
        <v>0.04</v>
      </c>
      <c r="W38" s="37">
        <f t="shared" si="2"/>
        <v>0.14000000000000001</v>
      </c>
      <c r="X38" s="37">
        <f t="shared" si="3"/>
        <v>0.04</v>
      </c>
      <c r="Y38" s="37">
        <f t="shared" si="4"/>
        <v>0.04</v>
      </c>
      <c r="Z38" s="37">
        <f t="shared" si="5"/>
        <v>0.04</v>
      </c>
      <c r="AA38" s="37">
        <f t="shared" si="6"/>
        <v>0.04</v>
      </c>
      <c r="AB38" s="37">
        <f t="shared" si="7"/>
        <v>0.04</v>
      </c>
      <c r="AC38" s="37">
        <f t="shared" si="8"/>
        <v>0.04</v>
      </c>
      <c r="AD38" s="37">
        <f t="shared" si="9"/>
        <v>-6.0000000000000005E-2</v>
      </c>
      <c r="AE38" s="156">
        <f t="shared" si="10"/>
        <v>8.6820000000000004</v>
      </c>
      <c r="AF38" s="156">
        <f t="shared" si="1"/>
        <v>8.2478999999999996</v>
      </c>
      <c r="AG38" s="156">
        <f>'8...Loader'!E38*L38</f>
        <v>2.5499999999999998</v>
      </c>
      <c r="AH38" s="170">
        <v>1.5</v>
      </c>
      <c r="AI38" s="170">
        <v>1.5</v>
      </c>
      <c r="AJ38" s="158">
        <v>54</v>
      </c>
      <c r="AK38" s="154">
        <v>0.93</v>
      </c>
      <c r="AL38" s="170">
        <v>1</v>
      </c>
      <c r="AM38" s="170"/>
      <c r="AN38" s="170"/>
      <c r="AO38" s="170"/>
      <c r="AP38" s="170"/>
      <c r="AQ38" s="170"/>
      <c r="AR38" s="170"/>
      <c r="AS38" s="170">
        <v>0.95</v>
      </c>
      <c r="AT38" s="96"/>
      <c r="AU38" s="96"/>
      <c r="AV38" s="96"/>
      <c r="AW38" s="96"/>
      <c r="AX38" s="96"/>
      <c r="AY38" s="96"/>
      <c r="AZ38" s="96"/>
      <c r="BA38" s="96"/>
      <c r="BB38" s="96"/>
      <c r="BC38" s="96"/>
      <c r="BD38" s="96"/>
    </row>
    <row r="39" spans="1:56" x14ac:dyDescent="0.2">
      <c r="A39" s="97" t="str">
        <f>'4...Earthwrk'!B97</f>
        <v>Build Access HR</v>
      </c>
      <c r="B39" s="157" t="str">
        <f>'4...Earthwrk'!C97</f>
        <v>Front RP</v>
      </c>
      <c r="C39" s="157" t="str">
        <f>'4...Earthwrk'!D97</f>
        <v>Front RP</v>
      </c>
      <c r="D39" s="100">
        <f>'3...Material'!G96</f>
        <v>740</v>
      </c>
      <c r="E39" s="28">
        <f>'4...Earthwrk'!G97</f>
        <v>300000</v>
      </c>
      <c r="F39" s="176">
        <f t="shared" si="12"/>
        <v>7.7249999999999996</v>
      </c>
      <c r="G39" s="150">
        <v>3</v>
      </c>
      <c r="H39" s="28">
        <f>AJ39*L39*'8...Loader'!D39*G39/F39*AK39</f>
        <v>438.81553398058253</v>
      </c>
      <c r="I39" s="29">
        <f>IF(E39/H39&lt;'8...Loader'!$G39,'8...Loader'!$G39,E39/H39)</f>
        <v>683.6585689632285</v>
      </c>
      <c r="J39" s="156"/>
      <c r="K39" s="156">
        <v>25</v>
      </c>
      <c r="L39" s="29">
        <f>IF(TRUNC(J39/'8...Loader'!D39)&lt;TRUNC(K39/'8...Loader'!D39),TRUNC(K39/'8...Loader'!D39),TRUNC(J39/'8...Loader'!D39))</f>
        <v>5</v>
      </c>
      <c r="M39" s="150">
        <f>'3...Material'!E96</f>
        <v>3000</v>
      </c>
      <c r="N39" s="397">
        <v>1500</v>
      </c>
      <c r="O39" s="398">
        <v>0.02</v>
      </c>
      <c r="P39" s="397"/>
      <c r="Q39" s="399"/>
      <c r="R39" s="397"/>
      <c r="S39" s="398"/>
      <c r="T39" s="397"/>
      <c r="U39" s="398"/>
      <c r="V39" s="177">
        <v>0.04</v>
      </c>
      <c r="W39" s="37">
        <f t="shared" si="2"/>
        <v>0.06</v>
      </c>
      <c r="X39" s="37">
        <f t="shared" si="3"/>
        <v>0.04</v>
      </c>
      <c r="Y39" s="37">
        <f t="shared" si="4"/>
        <v>0.04</v>
      </c>
      <c r="Z39" s="37">
        <f t="shared" si="5"/>
        <v>0.04</v>
      </c>
      <c r="AA39" s="37">
        <f t="shared" si="6"/>
        <v>0.04</v>
      </c>
      <c r="AB39" s="37">
        <f t="shared" si="7"/>
        <v>0.04</v>
      </c>
      <c r="AC39" s="37">
        <f t="shared" si="8"/>
        <v>0.04</v>
      </c>
      <c r="AD39" s="37">
        <f t="shared" si="9"/>
        <v>0.02</v>
      </c>
      <c r="AE39" s="156">
        <f t="shared" si="10"/>
        <v>1.2749999999999999</v>
      </c>
      <c r="AF39" s="156">
        <f t="shared" si="1"/>
        <v>0.9</v>
      </c>
      <c r="AG39" s="156">
        <f>'8...Loader'!E39*L39</f>
        <v>2.5499999999999998</v>
      </c>
      <c r="AH39" s="170">
        <v>1.5</v>
      </c>
      <c r="AI39" s="170">
        <v>1.5</v>
      </c>
      <c r="AJ39" s="158">
        <v>54</v>
      </c>
      <c r="AK39" s="154">
        <v>0.93</v>
      </c>
      <c r="AL39" s="170">
        <v>0.85</v>
      </c>
      <c r="AM39" s="170"/>
      <c r="AN39" s="170"/>
      <c r="AO39" s="170"/>
      <c r="AP39" s="170"/>
      <c r="AQ39" s="170"/>
      <c r="AR39" s="170"/>
      <c r="AS39" s="170">
        <v>0.6</v>
      </c>
      <c r="AT39" s="96"/>
      <c r="AU39" s="96"/>
      <c r="AV39" s="96"/>
      <c r="AW39" s="96"/>
      <c r="AX39" s="96"/>
      <c r="AY39" s="96"/>
      <c r="AZ39" s="96"/>
      <c r="BA39" s="96"/>
      <c r="BB39" s="96"/>
      <c r="BC39" s="96"/>
      <c r="BD39" s="96"/>
    </row>
    <row r="40" spans="1:56" x14ac:dyDescent="0.2">
      <c r="A40" s="97" t="str">
        <f>'4...Earthwrk'!B98</f>
        <v>Haul Reject Material</v>
      </c>
      <c r="B40" s="157" t="str">
        <f>'4...Earthwrk'!C98</f>
        <v>Spring Gulch RP</v>
      </c>
      <c r="C40" s="157" t="str">
        <f>'4...Earthwrk'!D98</f>
        <v>Pit Repository</v>
      </c>
      <c r="D40" s="100">
        <f>'3...Material'!G97</f>
        <v>740</v>
      </c>
      <c r="E40" s="28">
        <f>'4...Earthwrk'!G98</f>
        <v>476351</v>
      </c>
      <c r="F40" s="176">
        <f t="shared" si="12"/>
        <v>7.75</v>
      </c>
      <c r="G40" s="150">
        <v>3</v>
      </c>
      <c r="H40" s="28">
        <f>AJ40*L40*'8...Loader'!D40*G40/F40*AK40</f>
        <v>437.40000000000003</v>
      </c>
      <c r="I40" s="29">
        <f>IF(E40/H40&lt;'8...Loader'!$G40,'8...Loader'!$G40,E40/H40)</f>
        <v>1089.0512117055325</v>
      </c>
      <c r="J40" s="156"/>
      <c r="K40" s="156">
        <v>25</v>
      </c>
      <c r="L40" s="29">
        <f>IF(TRUNC(J40/'8...Loader'!D40)&lt;TRUNC(K40/'8...Loader'!D40),TRUNC(K40/'8...Loader'!D40),TRUNC(J40/'8...Loader'!D40))</f>
        <v>5</v>
      </c>
      <c r="M40" s="150">
        <f>'3...Material'!E97</f>
        <v>4000</v>
      </c>
      <c r="N40" s="397">
        <v>2000</v>
      </c>
      <c r="O40" s="398">
        <v>0</v>
      </c>
      <c r="P40" s="397"/>
      <c r="Q40" s="399"/>
      <c r="R40" s="397"/>
      <c r="S40" s="398"/>
      <c r="T40" s="397"/>
      <c r="U40" s="398"/>
      <c r="V40" s="177">
        <v>0.04</v>
      </c>
      <c r="W40" s="37">
        <f t="shared" si="2"/>
        <v>0.04</v>
      </c>
      <c r="X40" s="37">
        <f t="shared" si="3"/>
        <v>0.04</v>
      </c>
      <c r="Y40" s="37">
        <f t="shared" si="4"/>
        <v>0.04</v>
      </c>
      <c r="Z40" s="37">
        <f t="shared" si="5"/>
        <v>0.04</v>
      </c>
      <c r="AA40" s="37">
        <f t="shared" si="6"/>
        <v>0.04</v>
      </c>
      <c r="AB40" s="37">
        <f t="shared" si="7"/>
        <v>0.04</v>
      </c>
      <c r="AC40" s="37">
        <f t="shared" si="8"/>
        <v>0.04</v>
      </c>
      <c r="AD40" s="37">
        <f t="shared" si="9"/>
        <v>0.04</v>
      </c>
      <c r="AE40" s="156">
        <f t="shared" si="10"/>
        <v>1.3</v>
      </c>
      <c r="AF40" s="156">
        <f t="shared" si="1"/>
        <v>0.9</v>
      </c>
      <c r="AG40" s="156">
        <f>'8...Loader'!E40*L40</f>
        <v>2.5499999999999998</v>
      </c>
      <c r="AH40" s="170">
        <v>1.5</v>
      </c>
      <c r="AI40" s="170">
        <v>1.5</v>
      </c>
      <c r="AJ40" s="158">
        <v>54</v>
      </c>
      <c r="AK40" s="154">
        <v>0.93</v>
      </c>
      <c r="AL40" s="170">
        <v>0.65</v>
      </c>
      <c r="AM40" s="170"/>
      <c r="AN40" s="170"/>
      <c r="AO40" s="170"/>
      <c r="AP40" s="170"/>
      <c r="AQ40" s="170"/>
      <c r="AR40" s="170"/>
      <c r="AS40" s="170">
        <v>0.45</v>
      </c>
      <c r="AT40" s="96"/>
      <c r="AU40" s="96"/>
      <c r="AV40" s="96"/>
      <c r="AW40" s="96"/>
      <c r="AX40" s="96"/>
      <c r="AY40" s="96"/>
      <c r="AZ40" s="96"/>
      <c r="BA40" s="96"/>
      <c r="BB40" s="96"/>
      <c r="BC40" s="96"/>
      <c r="BD40" s="96"/>
    </row>
    <row r="41" spans="1:56" x14ac:dyDescent="0.2">
      <c r="A41" s="97" t="str">
        <f>'4...Earthwrk'!B99</f>
        <v>Haul waste material</v>
      </c>
      <c r="B41" s="157" t="str">
        <f>'4...Earthwrk'!C99</f>
        <v>Goathill South RP</v>
      </c>
      <c r="C41" s="157" t="str">
        <f>'4...Earthwrk'!D99</f>
        <v>Sugar Shack West RP</v>
      </c>
      <c r="D41" s="100">
        <f>'3...Material'!G98</f>
        <v>740</v>
      </c>
      <c r="E41" s="28">
        <f>'4...Earthwrk'!G99</f>
        <v>55669</v>
      </c>
      <c r="F41" s="176">
        <f t="shared" si="12"/>
        <v>8.7199999999999989</v>
      </c>
      <c r="G41" s="150">
        <v>3</v>
      </c>
      <c r="H41" s="28">
        <f>AJ41*L41*'8...Loader'!D41*G41/F41*AK41</f>
        <v>388.74426605504595</v>
      </c>
      <c r="I41" s="29">
        <f>IF(E41/H41&lt;'8...Loader'!$G41,'8...Loader'!$G41,E41/H41)</f>
        <v>177.36041417761848</v>
      </c>
      <c r="J41" s="156"/>
      <c r="K41" s="156">
        <v>25</v>
      </c>
      <c r="L41" s="29">
        <f>IF(TRUNC(J41/'8...Loader'!D41)&lt;TRUNC(K41/'8...Loader'!D41),TRUNC(K41/'8...Loader'!D41),TRUNC(J41/'8...Loader'!D41))</f>
        <v>5</v>
      </c>
      <c r="M41" s="150">
        <f>'3...Material'!E98</f>
        <v>2100</v>
      </c>
      <c r="N41" s="397">
        <v>1050</v>
      </c>
      <c r="O41" s="398">
        <v>0.1</v>
      </c>
      <c r="P41" s="397"/>
      <c r="Q41" s="399"/>
      <c r="R41" s="397"/>
      <c r="S41" s="398"/>
      <c r="T41" s="397"/>
      <c r="U41" s="398"/>
      <c r="V41" s="177">
        <v>0.04</v>
      </c>
      <c r="W41" s="37">
        <f t="shared" si="2"/>
        <v>0.14000000000000001</v>
      </c>
      <c r="X41" s="37">
        <f t="shared" si="3"/>
        <v>0.04</v>
      </c>
      <c r="Y41" s="37">
        <f t="shared" si="4"/>
        <v>0.04</v>
      </c>
      <c r="Z41" s="37">
        <f t="shared" si="5"/>
        <v>0.04</v>
      </c>
      <c r="AA41" s="37">
        <f t="shared" si="6"/>
        <v>0.04</v>
      </c>
      <c r="AB41" s="37">
        <f t="shared" si="7"/>
        <v>0.04</v>
      </c>
      <c r="AC41" s="37">
        <f t="shared" si="8"/>
        <v>0.04</v>
      </c>
      <c r="AD41" s="37">
        <f t="shared" si="9"/>
        <v>-6.0000000000000005E-2</v>
      </c>
      <c r="AE41" s="156">
        <f t="shared" si="10"/>
        <v>2.0474999999999999</v>
      </c>
      <c r="AF41" s="156">
        <f t="shared" si="1"/>
        <v>0.47249999999999998</v>
      </c>
      <c r="AG41" s="156">
        <f>'8...Loader'!E41*L41</f>
        <v>3.5999999999999996</v>
      </c>
      <c r="AH41" s="170">
        <v>1.45</v>
      </c>
      <c r="AI41" s="170">
        <v>1.1499999999999999</v>
      </c>
      <c r="AJ41" s="158">
        <v>54</v>
      </c>
      <c r="AK41" s="154">
        <v>0.93</v>
      </c>
      <c r="AL41" s="170">
        <v>1.95</v>
      </c>
      <c r="AM41" s="170"/>
      <c r="AN41" s="170"/>
      <c r="AO41" s="170"/>
      <c r="AP41" s="170"/>
      <c r="AQ41" s="170"/>
      <c r="AR41" s="170"/>
      <c r="AS41" s="170">
        <v>0.45</v>
      </c>
      <c r="AT41" s="96"/>
      <c r="AU41" s="96"/>
      <c r="AV41" s="96"/>
      <c r="AW41" s="96"/>
      <c r="AX41" s="96"/>
      <c r="AY41" s="96"/>
      <c r="AZ41" s="96"/>
      <c r="BA41" s="96"/>
      <c r="BB41" s="96"/>
      <c r="BC41" s="96"/>
      <c r="BD41" s="96"/>
    </row>
    <row r="42" spans="1:56" x14ac:dyDescent="0.2">
      <c r="A42" s="97" t="str">
        <f>'4...Earthwrk'!B100</f>
        <v>Haul waste material</v>
      </c>
      <c r="B42" s="157" t="str">
        <f>'4...Earthwrk'!C100</f>
        <v>Goathill South RP</v>
      </c>
      <c r="C42" s="157" t="str">
        <f>'4...Earthwrk'!D100</f>
        <v>Sugar Shack West RP</v>
      </c>
      <c r="D42" s="100">
        <f>'3...Material'!G99</f>
        <v>740</v>
      </c>
      <c r="E42" s="28">
        <f>'4...Earthwrk'!G100</f>
        <v>57503</v>
      </c>
      <c r="F42" s="176">
        <f t="shared" si="12"/>
        <v>9.5</v>
      </c>
      <c r="G42" s="150">
        <v>3</v>
      </c>
      <c r="H42" s="28">
        <f>AJ42*L42*'8...Loader'!D42*G42/F42*AK42</f>
        <v>356.82631578947371</v>
      </c>
      <c r="I42" s="29">
        <f>IF(E42/H42&lt;'8...Loader'!$G42,'8...Loader'!$G42,E42/H42)</f>
        <v>183.20350457984867</v>
      </c>
      <c r="J42" s="156"/>
      <c r="K42" s="156">
        <v>25</v>
      </c>
      <c r="L42" s="29">
        <f>IF(TRUNC(J42/'8...Loader'!D42)&lt;TRUNC(K42/'8...Loader'!D42),TRUNC(K42/'8...Loader'!D42),TRUNC(J42/'8...Loader'!D42))</f>
        <v>5</v>
      </c>
      <c r="M42" s="150">
        <f>'3...Material'!E99</f>
        <v>6000</v>
      </c>
      <c r="N42" s="397">
        <v>3000</v>
      </c>
      <c r="O42" s="398">
        <v>0</v>
      </c>
      <c r="P42" s="397"/>
      <c r="Q42" s="399"/>
      <c r="R42" s="397"/>
      <c r="S42" s="398"/>
      <c r="T42" s="397"/>
      <c r="U42" s="398"/>
      <c r="V42" s="177">
        <v>0.04</v>
      </c>
      <c r="W42" s="37">
        <f t="shared" si="2"/>
        <v>0.04</v>
      </c>
      <c r="X42" s="37">
        <f t="shared" si="3"/>
        <v>0.04</v>
      </c>
      <c r="Y42" s="37">
        <f t="shared" si="4"/>
        <v>0.04</v>
      </c>
      <c r="Z42" s="37">
        <f t="shared" si="5"/>
        <v>0.04</v>
      </c>
      <c r="AA42" s="37">
        <f t="shared" si="6"/>
        <v>0.04</v>
      </c>
      <c r="AB42" s="37">
        <f t="shared" si="7"/>
        <v>0.04</v>
      </c>
      <c r="AC42" s="37">
        <f t="shared" si="8"/>
        <v>0.04</v>
      </c>
      <c r="AD42" s="37">
        <f t="shared" si="9"/>
        <v>0.04</v>
      </c>
      <c r="AE42" s="156">
        <f t="shared" si="10"/>
        <v>1.95</v>
      </c>
      <c r="AF42" s="156">
        <f t="shared" si="1"/>
        <v>1.35</v>
      </c>
      <c r="AG42" s="156">
        <f>'8...Loader'!E42*L42</f>
        <v>3.5999999999999996</v>
      </c>
      <c r="AH42" s="170">
        <v>1.45</v>
      </c>
      <c r="AI42" s="170">
        <v>1.1499999999999999</v>
      </c>
      <c r="AJ42" s="158">
        <v>54</v>
      </c>
      <c r="AK42" s="154">
        <v>0.93</v>
      </c>
      <c r="AL42" s="170">
        <v>0.65</v>
      </c>
      <c r="AM42" s="170"/>
      <c r="AN42" s="170"/>
      <c r="AO42" s="170"/>
      <c r="AP42" s="170"/>
      <c r="AQ42" s="170"/>
      <c r="AR42" s="170"/>
      <c r="AS42" s="170">
        <v>0.45</v>
      </c>
      <c r="AT42" s="96"/>
      <c r="AU42" s="96"/>
      <c r="AV42" s="96"/>
      <c r="AW42" s="96"/>
      <c r="AX42" s="96"/>
      <c r="AY42" s="96"/>
      <c r="AZ42" s="96"/>
      <c r="BA42" s="96"/>
      <c r="BB42" s="96"/>
      <c r="BC42" s="96"/>
      <c r="BD42" s="96"/>
    </row>
    <row r="43" spans="1:56" x14ac:dyDescent="0.2">
      <c r="A43" s="97" t="str">
        <f>'4...Earthwrk'!B101</f>
        <v>Haul Road Cut</v>
      </c>
      <c r="B43" s="157" t="str">
        <f>'4...Earthwrk'!C101</f>
        <v>Spring Gulch - GHN HR</v>
      </c>
      <c r="C43" s="157" t="str">
        <f>'4...Earthwrk'!D101</f>
        <v>Spring Gulch - GHN HR</v>
      </c>
      <c r="D43" s="100">
        <f>'3...Material'!G100</f>
        <v>740</v>
      </c>
      <c r="E43" s="28">
        <f>'4...Earthwrk'!G101</f>
        <v>17232</v>
      </c>
      <c r="F43" s="176">
        <f t="shared" si="12"/>
        <v>25.14</v>
      </c>
      <c r="G43" s="150">
        <v>5</v>
      </c>
      <c r="H43" s="28">
        <f>AJ43*L43*'8...Loader'!D43*G43/F43*AK43</f>
        <v>247.20465393794751</v>
      </c>
      <c r="I43" s="29">
        <f>IF(E43/H43&lt;'8...Loader'!$G43,'8...Loader'!$G43,E43/H43)</f>
        <v>83.876277711403148</v>
      </c>
      <c r="J43" s="156"/>
      <c r="K43" s="156">
        <v>25</v>
      </c>
      <c r="L43" s="29">
        <f>IF(TRUNC(J43/'8...Loader'!D43)&lt;TRUNC(K43/'8...Loader'!D43),TRUNC(K43/'8...Loader'!D43),TRUNC(J43/'8...Loader'!D43))</f>
        <v>11</v>
      </c>
      <c r="M43" s="150">
        <f>'3...Material'!E100</f>
        <v>10560</v>
      </c>
      <c r="N43" s="397">
        <f>M43/2</f>
        <v>5280</v>
      </c>
      <c r="O43" s="398">
        <v>0.1</v>
      </c>
      <c r="P43" s="397"/>
      <c r="Q43" s="399"/>
      <c r="R43" s="397"/>
      <c r="S43" s="398"/>
      <c r="T43" s="397"/>
      <c r="U43" s="398"/>
      <c r="V43" s="177">
        <v>0.04</v>
      </c>
      <c r="W43" s="37">
        <f t="shared" si="2"/>
        <v>0.14000000000000001</v>
      </c>
      <c r="X43" s="37">
        <f t="shared" si="3"/>
        <v>0.04</v>
      </c>
      <c r="Y43" s="37">
        <f t="shared" si="4"/>
        <v>0.04</v>
      </c>
      <c r="Z43" s="37">
        <f t="shared" si="5"/>
        <v>0.04</v>
      </c>
      <c r="AA43" s="37">
        <f t="shared" si="6"/>
        <v>0.04</v>
      </c>
      <c r="AB43" s="37">
        <f t="shared" si="7"/>
        <v>0.04</v>
      </c>
      <c r="AC43" s="37">
        <f t="shared" si="8"/>
        <v>0.04</v>
      </c>
      <c r="AD43" s="37">
        <f t="shared" si="9"/>
        <v>-6.0000000000000005E-2</v>
      </c>
      <c r="AE43" s="156">
        <f t="shared" si="10"/>
        <v>10.56</v>
      </c>
      <c r="AF43" s="156">
        <f t="shared" si="1"/>
        <v>5.28</v>
      </c>
      <c r="AG43" s="156">
        <f>'8...Loader'!E43*L43</f>
        <v>6.0500000000000007</v>
      </c>
      <c r="AH43" s="170">
        <v>1.5</v>
      </c>
      <c r="AI43" s="170">
        <v>1.75</v>
      </c>
      <c r="AJ43" s="158">
        <v>54</v>
      </c>
      <c r="AK43" s="154">
        <v>0.93</v>
      </c>
      <c r="AL43" s="170">
        <v>2</v>
      </c>
      <c r="AM43" s="170"/>
      <c r="AN43" s="170"/>
      <c r="AO43" s="170"/>
      <c r="AP43" s="170"/>
      <c r="AQ43" s="170"/>
      <c r="AR43" s="170"/>
      <c r="AS43" s="170">
        <v>1</v>
      </c>
      <c r="AT43" s="96"/>
      <c r="AU43" s="96"/>
      <c r="AV43" s="96"/>
      <c r="AW43" s="96"/>
      <c r="AX43" s="96"/>
      <c r="AY43" s="96"/>
      <c r="AZ43" s="96"/>
      <c r="BA43" s="96"/>
      <c r="BB43" s="96"/>
      <c r="BC43" s="96"/>
      <c r="BD43" s="96"/>
    </row>
    <row r="44" spans="1:56" x14ac:dyDescent="0.2">
      <c r="A44" s="97" t="str">
        <f>'4...Earthwrk'!B102</f>
        <v>Haul Road Cut</v>
      </c>
      <c r="B44" s="157" t="str">
        <f>'4...Earthwrk'!C102</f>
        <v>Spring Gulch - GHN HR</v>
      </c>
      <c r="C44" s="157" t="str">
        <f>'4...Earthwrk'!D102</f>
        <v>Spring Gulch - GHN HR</v>
      </c>
      <c r="D44" s="100">
        <f>'3...Material'!G101</f>
        <v>740</v>
      </c>
      <c r="E44" s="28">
        <f>'4...Earthwrk'!G102</f>
        <v>47908</v>
      </c>
      <c r="F44" s="176">
        <f>SUM(AE44:AI44)</f>
        <v>52.980000000000004</v>
      </c>
      <c r="G44" s="150">
        <v>9</v>
      </c>
      <c r="H44" s="28">
        <f>AJ44*L44*'8...Loader'!D44*G44/F44*AK44</f>
        <v>211.14580973952434</v>
      </c>
      <c r="I44" s="29">
        <f>IF(E44/H44&lt;'8...Loader'!$G44,'8...Loader'!$G44,E44/H44)</f>
        <v>233.19084915261735</v>
      </c>
      <c r="J44" s="156"/>
      <c r="K44" s="156">
        <v>25</v>
      </c>
      <c r="L44" s="29">
        <f>IF(TRUNC(J44/'8...Loader'!D44)&lt;TRUNC(K44/'8...Loader'!D44),TRUNC(K44/'8...Loader'!D44),TRUNC(J44/'8...Loader'!D44))</f>
        <v>11</v>
      </c>
      <c r="M44" s="150">
        <f>'3...Material'!E101</f>
        <v>42240</v>
      </c>
      <c r="N44" s="397">
        <v>8000</v>
      </c>
      <c r="O44" s="398">
        <v>0.1</v>
      </c>
      <c r="P44" s="397">
        <v>13120</v>
      </c>
      <c r="Q44" s="399">
        <v>0</v>
      </c>
      <c r="R44" s="397"/>
      <c r="S44" s="398"/>
      <c r="T44" s="397"/>
      <c r="U44" s="398"/>
      <c r="V44" s="177">
        <v>0.04</v>
      </c>
      <c r="W44" s="37">
        <f t="shared" si="2"/>
        <v>0.14000000000000001</v>
      </c>
      <c r="X44" s="37">
        <f t="shared" si="3"/>
        <v>0.04</v>
      </c>
      <c r="Y44" s="37">
        <f t="shared" si="4"/>
        <v>0.04</v>
      </c>
      <c r="Z44" s="37">
        <f t="shared" si="5"/>
        <v>0.04</v>
      </c>
      <c r="AA44" s="37">
        <f t="shared" si="6"/>
        <v>0.04</v>
      </c>
      <c r="AB44" s="37">
        <f t="shared" si="7"/>
        <v>0.04</v>
      </c>
      <c r="AC44" s="37">
        <f t="shared" si="8"/>
        <v>0.04</v>
      </c>
      <c r="AD44" s="37">
        <f t="shared" si="9"/>
        <v>-6.0000000000000005E-2</v>
      </c>
      <c r="AE44" s="156">
        <f t="shared" si="10"/>
        <v>25.84</v>
      </c>
      <c r="AF44" s="156">
        <f t="shared" si="1"/>
        <v>17.84</v>
      </c>
      <c r="AG44" s="156">
        <f>'8...Loader'!E44*L44</f>
        <v>6.0500000000000007</v>
      </c>
      <c r="AH44" s="170">
        <v>1.5</v>
      </c>
      <c r="AI44" s="170">
        <v>1.75</v>
      </c>
      <c r="AJ44" s="158">
        <v>54</v>
      </c>
      <c r="AK44" s="154">
        <v>0.93</v>
      </c>
      <c r="AL44" s="170">
        <v>2</v>
      </c>
      <c r="AM44" s="170">
        <v>0.75</v>
      </c>
      <c r="AN44" s="170"/>
      <c r="AO44" s="170"/>
      <c r="AP44" s="170"/>
      <c r="AQ44" s="170"/>
      <c r="AR44" s="170">
        <v>0.75</v>
      </c>
      <c r="AS44" s="170">
        <v>1</v>
      </c>
    </row>
    <row r="45" spans="1:56" x14ac:dyDescent="0.2">
      <c r="A45" s="97"/>
      <c r="O45" s="299"/>
      <c r="S45" s="299"/>
      <c r="U45" s="299"/>
    </row>
    <row r="46" spans="1:56" x14ac:dyDescent="0.2">
      <c r="A46" s="97"/>
      <c r="O46" s="299"/>
      <c r="S46" s="299"/>
      <c r="U46" s="299"/>
    </row>
    <row r="47" spans="1:56" x14ac:dyDescent="0.2">
      <c r="A47" s="97" t="str">
        <f>'4...Earthwrk'!B105</f>
        <v>Haul cover material</v>
      </c>
      <c r="B47" s="157" t="str">
        <f>'4...Earthwrk'!C105</f>
        <v>Spring Gulch RP</v>
      </c>
      <c r="C47" s="157" t="str">
        <f>'4...Earthwrk'!D105</f>
        <v>Pit Repository</v>
      </c>
      <c r="D47" s="100">
        <f>'3...Material'!G104</f>
        <v>777</v>
      </c>
      <c r="E47" s="28">
        <f>'4...Earthwrk'!G105</f>
        <v>643986</v>
      </c>
      <c r="F47" s="176">
        <f t="shared" si="12"/>
        <v>16.0625</v>
      </c>
      <c r="G47" s="150">
        <v>5</v>
      </c>
      <c r="H47" s="28">
        <f>AJ47*L47*'8...Loader'!D47*G47/F47*AK47</f>
        <v>810.39838132295733</v>
      </c>
      <c r="I47" s="29">
        <f>IF(E47/H47&lt;'8...Loader'!$G47,'8...Loader'!$G47,E47/H47)</f>
        <v>890.50677021107117</v>
      </c>
      <c r="J47" s="156">
        <v>55</v>
      </c>
      <c r="K47" s="156">
        <v>55</v>
      </c>
      <c r="L47" s="29">
        <f>IF(TRUNC(J47/'8...Loader'!D47)&lt;TRUNC(K47/'8...Loader'!D47),TRUNC(K47/'8...Loader'!D47),TRUNC(J47/'8...Loader'!D47))</f>
        <v>4</v>
      </c>
      <c r="M47" s="150">
        <f>'3...Material'!E104</f>
        <v>12700</v>
      </c>
      <c r="N47" s="397">
        <v>1590</v>
      </c>
      <c r="O47" s="398">
        <v>0.04</v>
      </c>
      <c r="P47" s="397">
        <v>1800</v>
      </c>
      <c r="Q47" s="399">
        <v>-0.1</v>
      </c>
      <c r="R47" s="397">
        <v>2960</v>
      </c>
      <c r="S47" s="398">
        <v>0</v>
      </c>
      <c r="T47" s="397"/>
      <c r="U47" s="398"/>
      <c r="V47" s="177">
        <v>0.04</v>
      </c>
      <c r="W47" s="37">
        <f t="shared" ref="W47" si="13">O47+V47</f>
        <v>0.08</v>
      </c>
      <c r="X47" s="37">
        <f t="shared" ref="X47" si="14">Q47+V47</f>
        <v>-6.0000000000000005E-2</v>
      </c>
      <c r="Y47" s="37">
        <f t="shared" ref="Y47" si="15">S47+V47</f>
        <v>0.04</v>
      </c>
      <c r="Z47" s="37">
        <f t="shared" ref="Z47" si="16">U47+V47</f>
        <v>0.04</v>
      </c>
      <c r="AA47" s="37">
        <f t="shared" ref="AA47" si="17">V47-U47</f>
        <v>0.04</v>
      </c>
      <c r="AB47" s="37">
        <f t="shared" ref="AB47" si="18">V47-S47</f>
        <v>0.04</v>
      </c>
      <c r="AC47" s="37">
        <f t="shared" ref="AC47" si="19">V47-Q47</f>
        <v>0.14000000000000001</v>
      </c>
      <c r="AD47" s="37">
        <f t="shared" ref="AD47" si="20">V47-O47</f>
        <v>0</v>
      </c>
      <c r="AE47" s="156">
        <f t="shared" ref="AE47" si="21">(N47*AL47)/1000+(P47*AM47)/1000+(R47*AN47)/1000+(T47*AO47)/1000</f>
        <v>5.16</v>
      </c>
      <c r="AF47" s="156">
        <f t="shared" ref="AF47:AF59" si="22">(T47*AP47)/1000+(R47*AQ47)/1000+(P47*AR47)/1000+(N47*AS47)/1000</f>
        <v>4.3025000000000002</v>
      </c>
      <c r="AG47" s="156">
        <f>'8...Loader'!E47*L47</f>
        <v>3.5999999999999996</v>
      </c>
      <c r="AH47" s="170">
        <v>1.5</v>
      </c>
      <c r="AI47" s="170">
        <v>1.5</v>
      </c>
      <c r="AJ47" s="158">
        <v>54</v>
      </c>
      <c r="AK47" s="154">
        <v>0.93</v>
      </c>
      <c r="AL47" s="170">
        <v>1</v>
      </c>
      <c r="AM47" s="170">
        <v>0.75</v>
      </c>
      <c r="AN47" s="170">
        <v>0.75</v>
      </c>
      <c r="AO47" s="170"/>
      <c r="AP47" s="170"/>
      <c r="AQ47" s="170">
        <v>0.55000000000000004</v>
      </c>
      <c r="AR47" s="170">
        <v>1</v>
      </c>
      <c r="AS47" s="170">
        <v>0.55000000000000004</v>
      </c>
    </row>
    <row r="48" spans="1:56" x14ac:dyDescent="0.2">
      <c r="A48" s="97" t="str">
        <f>'4...Earthwrk'!B106</f>
        <v>Haul cover material</v>
      </c>
      <c r="B48" s="157" t="str">
        <f>'4...Earthwrk'!C106</f>
        <v>Spring Gulch RP</v>
      </c>
      <c r="C48" s="157" t="str">
        <f>'4...Earthwrk'!D106</f>
        <v>Blind Gulch/Sulphur RP Middle</v>
      </c>
      <c r="D48" s="100">
        <f>'3...Material'!G105</f>
        <v>777</v>
      </c>
      <c r="E48" s="28">
        <f>'4...Earthwrk'!G106</f>
        <v>677963</v>
      </c>
      <c r="F48" s="176">
        <f t="shared" si="12"/>
        <v>14.587</v>
      </c>
      <c r="G48" s="150">
        <v>4</v>
      </c>
      <c r="H48" s="28">
        <f>AJ48*L48*'8...Loader'!D48*G48/F48*AK48</f>
        <v>713.89725097689734</v>
      </c>
      <c r="I48" s="29">
        <f>IF(E48/H48&lt;'8...Loader'!$G48,'8...Loader'!$G48,E48/H48)</f>
        <v>949.66467383404984</v>
      </c>
      <c r="J48" s="156">
        <v>55</v>
      </c>
      <c r="K48" s="156">
        <v>55</v>
      </c>
      <c r="L48" s="29">
        <f>IF(TRUNC(J48/'8...Loader'!D48)&lt;TRUNC(K48/'8...Loader'!D48),TRUNC(K48/'8...Loader'!D48),TRUNC(J48/'8...Loader'!D48))</f>
        <v>4</v>
      </c>
      <c r="M48" s="150">
        <f>'3...Material'!E105</f>
        <v>8980</v>
      </c>
      <c r="N48" s="397">
        <v>1590</v>
      </c>
      <c r="O48" s="398">
        <v>0.04</v>
      </c>
      <c r="P48" s="397">
        <v>2900</v>
      </c>
      <c r="Q48" s="399">
        <v>0.1</v>
      </c>
      <c r="R48" s="397"/>
      <c r="S48" s="398"/>
      <c r="T48" s="397"/>
      <c r="U48" s="398"/>
      <c r="V48" s="177">
        <v>0.04</v>
      </c>
      <c r="W48" s="37">
        <f t="shared" ref="W48:W59" si="23">O48+V48</f>
        <v>0.08</v>
      </c>
      <c r="X48" s="37">
        <f t="shared" ref="X48:X59" si="24">Q48+V48</f>
        <v>0.14000000000000001</v>
      </c>
      <c r="Y48" s="37">
        <f t="shared" ref="Y48:Y59" si="25">S48+V48</f>
        <v>0.04</v>
      </c>
      <c r="Z48" s="37">
        <f t="shared" ref="Z48:Z59" si="26">U48+V48</f>
        <v>0.04</v>
      </c>
      <c r="AA48" s="37">
        <f t="shared" ref="AA48:AA59" si="27">V48-U48</f>
        <v>0.04</v>
      </c>
      <c r="AB48" s="37">
        <f t="shared" ref="AB48:AB59" si="28">V48-S48</f>
        <v>0.04</v>
      </c>
      <c r="AC48" s="37">
        <f t="shared" ref="AC48:AC59" si="29">V48-Q48</f>
        <v>-6.0000000000000005E-2</v>
      </c>
      <c r="AD48" s="37">
        <f t="shared" ref="AD48:AD59" si="30">V48-O48</f>
        <v>0</v>
      </c>
      <c r="AE48" s="156">
        <f t="shared" ref="AE48:AE59" si="31">(N48*AL48)/1000+(P48*AM48)/1000+(R48*AN48)/1000+(T48*AO48)/1000</f>
        <v>7.39</v>
      </c>
      <c r="AF48" s="156">
        <f t="shared" si="22"/>
        <v>1.347</v>
      </c>
      <c r="AG48" s="156">
        <f>'8...Loader'!E48*L48</f>
        <v>3.5999999999999996</v>
      </c>
      <c r="AH48" s="170">
        <v>1.25</v>
      </c>
      <c r="AI48" s="170">
        <v>1</v>
      </c>
      <c r="AJ48" s="158">
        <v>54</v>
      </c>
      <c r="AK48" s="154">
        <v>0.93</v>
      </c>
      <c r="AL48" s="170">
        <v>1</v>
      </c>
      <c r="AM48" s="170">
        <v>2</v>
      </c>
      <c r="AN48" s="170"/>
      <c r="AO48" s="170"/>
      <c r="AP48" s="170"/>
      <c r="AQ48" s="170"/>
      <c r="AR48" s="170">
        <v>0.3</v>
      </c>
      <c r="AS48" s="170">
        <v>0.3</v>
      </c>
    </row>
    <row r="49" spans="1:45" x14ac:dyDescent="0.2">
      <c r="A49" s="97" t="str">
        <f>'4...Earthwrk'!B107</f>
        <v>Haul cover material</v>
      </c>
      <c r="B49" s="157" t="str">
        <f>'4...Earthwrk'!C107</f>
        <v>Spring Gulch RP</v>
      </c>
      <c r="C49" s="157" t="str">
        <f>'4...Earthwrk'!D107</f>
        <v>Blind Gulch/Sulphur RP Bottom</v>
      </c>
      <c r="D49" s="100">
        <f>'3...Material'!G106</f>
        <v>777</v>
      </c>
      <c r="E49" s="28">
        <f>'4...Earthwrk'!G107</f>
        <v>256084</v>
      </c>
      <c r="F49" s="176">
        <f t="shared" si="12"/>
        <v>18.143000000000001</v>
      </c>
      <c r="G49" s="150">
        <v>5</v>
      </c>
      <c r="H49" s="28">
        <f>AJ49*L49*'8...Loader'!D49*G49/F49*AK49</f>
        <v>717.468114424296</v>
      </c>
      <c r="I49" s="29">
        <f>IF(E49/H49&lt;'8...Loader'!$G49,'8...Loader'!$G49,E49/H49)</f>
        <v>356.92736004788799</v>
      </c>
      <c r="J49" s="156">
        <v>55</v>
      </c>
      <c r="K49" s="156">
        <v>55</v>
      </c>
      <c r="L49" s="29">
        <f>IF(TRUNC(J49/'8...Loader'!D49)&lt;TRUNC(K49/'8...Loader'!D49),TRUNC(K49/'8...Loader'!D49),TRUNC(J49/'8...Loader'!D49))</f>
        <v>4</v>
      </c>
      <c r="M49" s="150">
        <f>'3...Material'!E106</f>
        <v>13160</v>
      </c>
      <c r="N49" s="397">
        <v>3300</v>
      </c>
      <c r="O49" s="398">
        <v>0</v>
      </c>
      <c r="P49" s="397">
        <v>1270</v>
      </c>
      <c r="Q49" s="399">
        <v>7.0000000000000007E-2</v>
      </c>
      <c r="R49" s="397">
        <v>2010</v>
      </c>
      <c r="S49" s="398">
        <v>0.08</v>
      </c>
      <c r="T49" s="397"/>
      <c r="U49" s="398"/>
      <c r="V49" s="177">
        <v>0.04</v>
      </c>
      <c r="W49" s="37">
        <f t="shared" si="23"/>
        <v>0.04</v>
      </c>
      <c r="X49" s="37">
        <f t="shared" si="24"/>
        <v>0.11000000000000001</v>
      </c>
      <c r="Y49" s="37">
        <f t="shared" si="25"/>
        <v>0.12</v>
      </c>
      <c r="Z49" s="37">
        <f t="shared" si="26"/>
        <v>0.04</v>
      </c>
      <c r="AA49" s="37">
        <f t="shared" si="27"/>
        <v>0.04</v>
      </c>
      <c r="AB49" s="37">
        <f t="shared" si="28"/>
        <v>-0.04</v>
      </c>
      <c r="AC49" s="37">
        <f t="shared" si="29"/>
        <v>-3.0000000000000006E-2</v>
      </c>
      <c r="AD49" s="37">
        <f t="shared" si="30"/>
        <v>0.04</v>
      </c>
      <c r="AE49" s="156">
        <f t="shared" si="31"/>
        <v>7.266</v>
      </c>
      <c r="AF49" s="156">
        <f t="shared" si="22"/>
        <v>4.2770000000000001</v>
      </c>
      <c r="AG49" s="156">
        <f>'8...Loader'!E49*L49</f>
        <v>3.5999999999999996</v>
      </c>
      <c r="AH49" s="170">
        <v>1.5</v>
      </c>
      <c r="AI49" s="170">
        <v>1.5</v>
      </c>
      <c r="AJ49" s="158">
        <v>54</v>
      </c>
      <c r="AK49" s="154">
        <v>0.93</v>
      </c>
      <c r="AL49" s="170">
        <v>0.65</v>
      </c>
      <c r="AM49" s="170">
        <v>1.5</v>
      </c>
      <c r="AN49" s="170">
        <v>1.6</v>
      </c>
      <c r="AO49" s="170"/>
      <c r="AP49" s="170"/>
      <c r="AQ49" s="170">
        <v>0.65</v>
      </c>
      <c r="AR49" s="170">
        <v>0.65</v>
      </c>
      <c r="AS49" s="170">
        <v>0.65</v>
      </c>
    </row>
    <row r="50" spans="1:45" x14ac:dyDescent="0.2">
      <c r="A50" s="97" t="str">
        <f>'4...Earthwrk'!B108</f>
        <v>Haul cover material</v>
      </c>
      <c r="B50" s="157" t="str">
        <f>'4...Earthwrk'!C108</f>
        <v>Spring Gulch RP</v>
      </c>
      <c r="C50" s="157" t="str">
        <f>'4...Earthwrk'!D108</f>
        <v>Front RP</v>
      </c>
      <c r="D50" s="100">
        <f>'3...Material'!G107</f>
        <v>777</v>
      </c>
      <c r="E50" s="28">
        <f>'4...Earthwrk'!G108</f>
        <v>419503</v>
      </c>
      <c r="F50" s="176">
        <f t="shared" si="12"/>
        <v>40.849999999999994</v>
      </c>
      <c r="G50" s="150">
        <v>9</v>
      </c>
      <c r="H50" s="28">
        <f>AJ50*L50*'8...Loader'!D50*G50/F50*AK50</f>
        <v>573.57755691554485</v>
      </c>
      <c r="I50" s="29">
        <f>IF(E50/H50&lt;'8...Loader'!$G50,'8...Loader'!$G50,E50/H50)</f>
        <v>731.37973224738425</v>
      </c>
      <c r="J50" s="156">
        <v>55</v>
      </c>
      <c r="K50" s="156">
        <v>55</v>
      </c>
      <c r="L50" s="29">
        <f>IF(TRUNC(J50/'8...Loader'!D50)&lt;TRUNC(K50/'8...Loader'!D50),TRUNC(K50/'8...Loader'!D50),TRUNC(J50/'8...Loader'!D50))</f>
        <v>4</v>
      </c>
      <c r="M50" s="150">
        <f>'3...Material'!E107</f>
        <v>33390</v>
      </c>
      <c r="N50" s="397">
        <v>3800</v>
      </c>
      <c r="O50" s="398">
        <v>0.03</v>
      </c>
      <c r="P50" s="397">
        <v>12000</v>
      </c>
      <c r="Q50" s="399">
        <v>0.1</v>
      </c>
      <c r="R50" s="397">
        <v>750</v>
      </c>
      <c r="S50" s="398">
        <v>0</v>
      </c>
      <c r="T50" s="397"/>
      <c r="U50" s="398"/>
      <c r="V50" s="177">
        <v>0.04</v>
      </c>
      <c r="W50" s="37">
        <f t="shared" si="23"/>
        <v>7.0000000000000007E-2</v>
      </c>
      <c r="X50" s="37">
        <f t="shared" si="24"/>
        <v>0.14000000000000001</v>
      </c>
      <c r="Y50" s="37">
        <f t="shared" si="25"/>
        <v>0.04</v>
      </c>
      <c r="Z50" s="37">
        <f t="shared" si="26"/>
        <v>0.04</v>
      </c>
      <c r="AA50" s="37">
        <f t="shared" si="27"/>
        <v>0.04</v>
      </c>
      <c r="AB50" s="37">
        <f t="shared" si="28"/>
        <v>0.04</v>
      </c>
      <c r="AC50" s="37">
        <f t="shared" si="29"/>
        <v>-6.0000000000000005E-2</v>
      </c>
      <c r="AD50" s="37">
        <f t="shared" si="30"/>
        <v>1.0000000000000002E-2</v>
      </c>
      <c r="AE50" s="156">
        <f t="shared" si="31"/>
        <v>25.835000000000001</v>
      </c>
      <c r="AF50" s="156">
        <f t="shared" si="22"/>
        <v>8.2750000000000004</v>
      </c>
      <c r="AG50" s="156">
        <f>'8...Loader'!E50*L50</f>
        <v>4.4399999999999995</v>
      </c>
      <c r="AH50" s="170">
        <v>1.3</v>
      </c>
      <c r="AI50" s="170">
        <v>1</v>
      </c>
      <c r="AJ50" s="158">
        <v>54</v>
      </c>
      <c r="AK50" s="154">
        <v>0.93</v>
      </c>
      <c r="AL50" s="170">
        <v>0.7</v>
      </c>
      <c r="AM50" s="170">
        <v>1.9</v>
      </c>
      <c r="AN50" s="170">
        <v>0.5</v>
      </c>
      <c r="AO50" s="170"/>
      <c r="AP50" s="170"/>
      <c r="AQ50" s="170">
        <v>0.5</v>
      </c>
      <c r="AR50" s="170">
        <v>0.5</v>
      </c>
      <c r="AS50" s="170">
        <v>0.5</v>
      </c>
    </row>
    <row r="51" spans="1:45" x14ac:dyDescent="0.2">
      <c r="A51" s="97" t="str">
        <f>'4...Earthwrk'!B109</f>
        <v>Haul cover material</v>
      </c>
      <c r="B51" s="157" t="str">
        <f>'4...Earthwrk'!C109</f>
        <v>Front RP</v>
      </c>
      <c r="C51" s="157" t="str">
        <f>'4...Earthwrk'!D109</f>
        <v>Sugar Shack West RP</v>
      </c>
      <c r="D51" s="100">
        <f>'3...Material'!G108</f>
        <v>740</v>
      </c>
      <c r="E51" s="28">
        <f>'4...Earthwrk'!G109</f>
        <v>419503</v>
      </c>
      <c r="F51" s="176">
        <f t="shared" si="12"/>
        <v>16.77</v>
      </c>
      <c r="G51" s="150">
        <v>8</v>
      </c>
      <c r="H51" s="28">
        <f>AJ51*L51*'8...Loader'!D51*G51/F51*AK51</f>
        <v>539.03398926654745</v>
      </c>
      <c r="I51" s="29">
        <f>IF(E51/H51&lt;'8...Loader'!$G51,'8...Loader'!$G51,E51/H51)</f>
        <v>946.7079516792777</v>
      </c>
      <c r="J51" s="156">
        <v>25</v>
      </c>
      <c r="K51" s="156">
        <v>25</v>
      </c>
      <c r="L51" s="29">
        <f>IF(TRUNC(J51/'8...Loader'!D51)&lt;TRUNC(K51/'8...Loader'!D51),TRUNC(K51/'8...Loader'!D51),TRUNC(J51/'8...Loader'!D51))</f>
        <v>5</v>
      </c>
      <c r="M51" s="150">
        <f>'3...Material'!E108</f>
        <v>13600</v>
      </c>
      <c r="N51" s="397">
        <v>6800</v>
      </c>
      <c r="O51" s="398">
        <v>0.04</v>
      </c>
      <c r="P51" s="397"/>
      <c r="Q51" s="399"/>
      <c r="R51" s="397"/>
      <c r="S51" s="398"/>
      <c r="T51" s="397"/>
      <c r="U51" s="398"/>
      <c r="V51" s="177">
        <v>0.04</v>
      </c>
      <c r="W51" s="37">
        <f t="shared" si="23"/>
        <v>0.08</v>
      </c>
      <c r="X51" s="37">
        <f t="shared" si="24"/>
        <v>0.04</v>
      </c>
      <c r="Y51" s="37">
        <f t="shared" si="25"/>
        <v>0.04</v>
      </c>
      <c r="Z51" s="37">
        <f t="shared" si="26"/>
        <v>0.04</v>
      </c>
      <c r="AA51" s="37">
        <f t="shared" si="27"/>
        <v>0.04</v>
      </c>
      <c r="AB51" s="37">
        <f t="shared" si="28"/>
        <v>0.04</v>
      </c>
      <c r="AC51" s="37">
        <f t="shared" si="29"/>
        <v>0.04</v>
      </c>
      <c r="AD51" s="37">
        <f t="shared" si="30"/>
        <v>0</v>
      </c>
      <c r="AE51" s="156">
        <f t="shared" si="31"/>
        <v>5.78</v>
      </c>
      <c r="AF51" s="156">
        <f t="shared" si="22"/>
        <v>5.44</v>
      </c>
      <c r="AG51" s="156">
        <f>'8...Loader'!E51*L51</f>
        <v>2.5499999999999998</v>
      </c>
      <c r="AH51" s="170">
        <v>1.5</v>
      </c>
      <c r="AI51" s="170">
        <v>1.5</v>
      </c>
      <c r="AJ51" s="158">
        <v>54</v>
      </c>
      <c r="AK51" s="154">
        <v>0.93</v>
      </c>
      <c r="AL51" s="170">
        <v>0.85</v>
      </c>
      <c r="AM51" s="170"/>
      <c r="AN51" s="170"/>
      <c r="AO51" s="170"/>
      <c r="AP51" s="170"/>
      <c r="AQ51" s="170"/>
      <c r="AR51" s="170"/>
      <c r="AS51" s="170">
        <v>0.8</v>
      </c>
    </row>
    <row r="52" spans="1:45" x14ac:dyDescent="0.2">
      <c r="A52" s="97" t="str">
        <f>'4...Earthwrk'!B110</f>
        <v>Haul cover material</v>
      </c>
      <c r="B52" s="157" t="str">
        <f>'4...Earthwrk'!C110</f>
        <v>Spring Gulch RP</v>
      </c>
      <c r="C52" s="157" t="str">
        <f>'4...Earthwrk'!D110</f>
        <v>Front RP</v>
      </c>
      <c r="D52" s="100">
        <f>'3...Material'!G109</f>
        <v>777</v>
      </c>
      <c r="E52" s="28">
        <f>'4...Earthwrk'!G110</f>
        <v>13213</v>
      </c>
      <c r="F52" s="176">
        <f t="shared" si="12"/>
        <v>40.849999999999994</v>
      </c>
      <c r="G52" s="150">
        <v>9</v>
      </c>
      <c r="H52" s="28">
        <f>AJ52*L52*'8...Loader'!D52*G52/F52*AK52</f>
        <v>573.57755691554485</v>
      </c>
      <c r="I52" s="29">
        <f>IF(E52/H52&lt;'8...Loader'!$G52,'8...Loader'!$G52,E52/H52)</f>
        <v>23.03611750615535</v>
      </c>
      <c r="J52" s="156">
        <v>55</v>
      </c>
      <c r="K52" s="156">
        <v>55</v>
      </c>
      <c r="L52" s="29">
        <f>IF(TRUNC(J52/'8...Loader'!D52)&lt;TRUNC(K52/'8...Loader'!D52),TRUNC(K52/'8...Loader'!D52),TRUNC(J52/'8...Loader'!D52))</f>
        <v>4</v>
      </c>
      <c r="M52" s="150">
        <f>'3...Material'!E109</f>
        <v>33390</v>
      </c>
      <c r="N52" s="397">
        <v>3800</v>
      </c>
      <c r="O52" s="398">
        <v>0.03</v>
      </c>
      <c r="P52" s="397">
        <v>12000</v>
      </c>
      <c r="Q52" s="399">
        <v>0.1</v>
      </c>
      <c r="R52" s="397">
        <v>750</v>
      </c>
      <c r="S52" s="398">
        <v>0</v>
      </c>
      <c r="T52" s="397"/>
      <c r="U52" s="398"/>
      <c r="V52" s="177">
        <v>0.04</v>
      </c>
      <c r="W52" s="37">
        <f t="shared" si="23"/>
        <v>7.0000000000000007E-2</v>
      </c>
      <c r="X52" s="37">
        <f t="shared" si="24"/>
        <v>0.14000000000000001</v>
      </c>
      <c r="Y52" s="37">
        <f t="shared" si="25"/>
        <v>0.04</v>
      </c>
      <c r="Z52" s="37">
        <f t="shared" si="26"/>
        <v>0.04</v>
      </c>
      <c r="AA52" s="37">
        <f t="shared" si="27"/>
        <v>0.04</v>
      </c>
      <c r="AB52" s="37">
        <f t="shared" si="28"/>
        <v>0.04</v>
      </c>
      <c r="AC52" s="37">
        <f t="shared" si="29"/>
        <v>-6.0000000000000005E-2</v>
      </c>
      <c r="AD52" s="37">
        <f t="shared" si="30"/>
        <v>1.0000000000000002E-2</v>
      </c>
      <c r="AE52" s="156">
        <f t="shared" si="31"/>
        <v>25.835000000000001</v>
      </c>
      <c r="AF52" s="156">
        <f t="shared" si="22"/>
        <v>8.2750000000000004</v>
      </c>
      <c r="AG52" s="156">
        <f>'8...Loader'!E52*L52</f>
        <v>4.4399999999999995</v>
      </c>
      <c r="AH52" s="170">
        <v>1.3</v>
      </c>
      <c r="AI52" s="170">
        <v>1</v>
      </c>
      <c r="AJ52" s="158">
        <v>54</v>
      </c>
      <c r="AK52" s="154">
        <v>0.93</v>
      </c>
      <c r="AL52" s="170">
        <v>0.7</v>
      </c>
      <c r="AM52" s="170">
        <v>1.9</v>
      </c>
      <c r="AN52" s="170">
        <v>0.5</v>
      </c>
      <c r="AO52" s="170"/>
      <c r="AP52" s="170"/>
      <c r="AQ52" s="170">
        <v>0.5</v>
      </c>
      <c r="AR52" s="170">
        <v>0.5</v>
      </c>
      <c r="AS52" s="170">
        <v>0.5</v>
      </c>
    </row>
    <row r="53" spans="1:45" x14ac:dyDescent="0.2">
      <c r="A53" s="97" t="str">
        <f>'4...Earthwrk'!B111</f>
        <v>Haul cover material</v>
      </c>
      <c r="B53" s="157" t="str">
        <f>'4...Earthwrk'!C111</f>
        <v>Front RP</v>
      </c>
      <c r="C53" s="157" t="str">
        <f>'4...Earthwrk'!D111</f>
        <v>Goathill South RP</v>
      </c>
      <c r="D53" s="100">
        <f>'3...Material'!G110</f>
        <v>740</v>
      </c>
      <c r="E53" s="28">
        <f>'4...Earthwrk'!G111</f>
        <v>13213</v>
      </c>
      <c r="F53" s="176">
        <f t="shared" si="12"/>
        <v>16.406000000000002</v>
      </c>
      <c r="G53" s="150">
        <v>7</v>
      </c>
      <c r="H53" s="28">
        <f>AJ53*L53*'8...Loader'!D53*G53/F53*AK53</f>
        <v>482.11934658051933</v>
      </c>
      <c r="I53" s="29">
        <f>IF(E53/H53&lt;'8...Loader'!$G53,'8...Loader'!$G53,E53/H53)</f>
        <v>29.818266294968801</v>
      </c>
      <c r="J53" s="156">
        <v>25</v>
      </c>
      <c r="K53" s="156">
        <v>25</v>
      </c>
      <c r="L53" s="29">
        <f>IF(TRUNC(J53/'8...Loader'!D53)&lt;TRUNC(K53/'8...Loader'!D53),TRUNC(K53/'8...Loader'!D53),TRUNC(J53/'8...Loader'!D53))</f>
        <v>5</v>
      </c>
      <c r="M53" s="150">
        <f>'3...Material'!E110</f>
        <v>11800</v>
      </c>
      <c r="N53" s="397">
        <v>5900</v>
      </c>
      <c r="O53" s="398">
        <v>0.04</v>
      </c>
      <c r="P53" s="397"/>
      <c r="Q53" s="399"/>
      <c r="R53" s="397"/>
      <c r="S53" s="398"/>
      <c r="T53" s="397"/>
      <c r="U53" s="398"/>
      <c r="V53" s="177">
        <v>0.04</v>
      </c>
      <c r="W53" s="37">
        <f t="shared" si="23"/>
        <v>0.08</v>
      </c>
      <c r="X53" s="37">
        <f t="shared" si="24"/>
        <v>0.04</v>
      </c>
      <c r="Y53" s="37">
        <f t="shared" si="25"/>
        <v>0.04</v>
      </c>
      <c r="Z53" s="37">
        <f t="shared" si="26"/>
        <v>0.04</v>
      </c>
      <c r="AA53" s="37">
        <f t="shared" si="27"/>
        <v>0.04</v>
      </c>
      <c r="AB53" s="37">
        <f t="shared" si="28"/>
        <v>0.04</v>
      </c>
      <c r="AC53" s="37">
        <f t="shared" si="29"/>
        <v>0.04</v>
      </c>
      <c r="AD53" s="37">
        <f t="shared" si="30"/>
        <v>0</v>
      </c>
      <c r="AE53" s="156">
        <f t="shared" si="31"/>
        <v>5.9</v>
      </c>
      <c r="AF53" s="156">
        <f t="shared" si="22"/>
        <v>4.9560000000000004</v>
      </c>
      <c r="AG53" s="156">
        <f>'8...Loader'!E53*L53</f>
        <v>2.5499999999999998</v>
      </c>
      <c r="AH53" s="170">
        <v>1.5</v>
      </c>
      <c r="AI53" s="170">
        <v>1.5</v>
      </c>
      <c r="AJ53" s="158">
        <v>54</v>
      </c>
      <c r="AK53" s="154">
        <v>0.93</v>
      </c>
      <c r="AL53" s="170">
        <v>1</v>
      </c>
      <c r="AM53" s="170"/>
      <c r="AN53" s="170"/>
      <c r="AO53" s="170"/>
      <c r="AP53" s="170"/>
      <c r="AQ53" s="170"/>
      <c r="AR53" s="170"/>
      <c r="AS53" s="170">
        <v>0.84</v>
      </c>
    </row>
    <row r="54" spans="1:45" x14ac:dyDescent="0.2">
      <c r="A54" s="97" t="str">
        <f>'4...Earthwrk'!B112</f>
        <v>Haul cover material</v>
      </c>
      <c r="B54" s="157" t="str">
        <f>'4...Earthwrk'!C112</f>
        <v>Front RP</v>
      </c>
      <c r="C54" s="157" t="str">
        <f>'4...Earthwrk'!D112</f>
        <v>Front RP</v>
      </c>
      <c r="D54" s="100">
        <f>'3...Material'!G111</f>
        <v>740</v>
      </c>
      <c r="E54" s="28">
        <f>'4...Earthwrk'!G112</f>
        <v>769433</v>
      </c>
      <c r="F54" s="176">
        <f t="shared" si="12"/>
        <v>10.1</v>
      </c>
      <c r="G54" s="150">
        <v>4</v>
      </c>
      <c r="H54" s="28">
        <f>AJ54*L54*'8...Loader'!D54*G54/F54*AK54</f>
        <v>447.50495049504957</v>
      </c>
      <c r="I54" s="29">
        <f>IF(E54/H54&lt;'8...Loader'!$G54,'8...Loader'!$G54,E54/H54)</f>
        <v>1736.4079384043539</v>
      </c>
      <c r="J54" s="156">
        <v>25</v>
      </c>
      <c r="K54" s="156">
        <v>25</v>
      </c>
      <c r="L54" s="29">
        <f>IF(TRUNC(J54/'8...Loader'!D54)&lt;TRUNC(K54/'8...Loader'!D54),TRUNC(K54/'8...Loader'!D54),TRUNC(J54/'8...Loader'!D54))</f>
        <v>5</v>
      </c>
      <c r="M54" s="150">
        <f>'3...Material'!E111</f>
        <v>6600</v>
      </c>
      <c r="N54" s="397">
        <v>800</v>
      </c>
      <c r="O54" s="398">
        <v>0</v>
      </c>
      <c r="P54" s="397">
        <v>2500</v>
      </c>
      <c r="Q54" s="399">
        <v>-0.1</v>
      </c>
      <c r="R54" s="397"/>
      <c r="S54" s="398"/>
      <c r="T54" s="397"/>
      <c r="U54" s="398"/>
      <c r="V54" s="177">
        <v>0.04</v>
      </c>
      <c r="W54" s="37">
        <f t="shared" si="23"/>
        <v>0.04</v>
      </c>
      <c r="X54" s="37">
        <f t="shared" si="24"/>
        <v>-6.0000000000000005E-2</v>
      </c>
      <c r="Y54" s="37">
        <f t="shared" si="25"/>
        <v>0.04</v>
      </c>
      <c r="Z54" s="37">
        <f t="shared" si="26"/>
        <v>0.04</v>
      </c>
      <c r="AA54" s="37">
        <f t="shared" si="27"/>
        <v>0.04</v>
      </c>
      <c r="AB54" s="37">
        <f t="shared" si="28"/>
        <v>0.04</v>
      </c>
      <c r="AC54" s="37">
        <f t="shared" si="29"/>
        <v>0.14000000000000001</v>
      </c>
      <c r="AD54" s="37">
        <f t="shared" si="30"/>
        <v>0.04</v>
      </c>
      <c r="AE54" s="156">
        <f t="shared" si="31"/>
        <v>1.65</v>
      </c>
      <c r="AF54" s="156">
        <f t="shared" si="22"/>
        <v>2.9</v>
      </c>
      <c r="AG54" s="156">
        <f>'8...Loader'!E54*L54</f>
        <v>2.5499999999999998</v>
      </c>
      <c r="AH54" s="170">
        <v>1.5</v>
      </c>
      <c r="AI54" s="170">
        <v>1.5</v>
      </c>
      <c r="AJ54" s="158">
        <v>54</v>
      </c>
      <c r="AK54" s="154">
        <v>0.93</v>
      </c>
      <c r="AL54" s="170">
        <v>0.5</v>
      </c>
      <c r="AM54" s="170">
        <v>0.5</v>
      </c>
      <c r="AN54" s="170"/>
      <c r="AO54" s="170"/>
      <c r="AP54" s="170"/>
      <c r="AQ54" s="170"/>
      <c r="AR54" s="170">
        <v>1</v>
      </c>
      <c r="AS54" s="170">
        <v>0.5</v>
      </c>
    </row>
    <row r="55" spans="1:45" x14ac:dyDescent="0.2">
      <c r="A55" s="97" t="str">
        <f>'4...Earthwrk'!B113</f>
        <v>Haul cover material</v>
      </c>
      <c r="B55" s="157" t="str">
        <f>'4...Earthwrk'!C113</f>
        <v>Spring Gulch RP</v>
      </c>
      <c r="C55" s="157" t="str">
        <f>'4...Earthwrk'!D113</f>
        <v>Spring Gulch RP</v>
      </c>
      <c r="D55" s="100">
        <f>'3...Material'!G112</f>
        <v>740</v>
      </c>
      <c r="E55" s="28">
        <f>'4...Earthwrk'!G113</f>
        <v>299499</v>
      </c>
      <c r="F55" s="176">
        <f t="shared" si="12"/>
        <v>10.1</v>
      </c>
      <c r="G55" s="150">
        <v>4</v>
      </c>
      <c r="H55" s="28">
        <f>AJ55*L55*'8...Loader'!D55*G55/F55*AK55</f>
        <v>447.50495049504957</v>
      </c>
      <c r="I55" s="29">
        <f>IF(E55/H55&lt;'8...Loader'!$G55,'8...Loader'!$G55,E55/H55)</f>
        <v>675.89048187972912</v>
      </c>
      <c r="J55" s="156">
        <v>25</v>
      </c>
      <c r="K55" s="156">
        <v>25</v>
      </c>
      <c r="L55" s="29">
        <f>IF(TRUNC(J55/'8...Loader'!D55)&lt;TRUNC(K55/'8...Loader'!D55),TRUNC(K55/'8...Loader'!D55),TRUNC(J55/'8...Loader'!D55))</f>
        <v>5</v>
      </c>
      <c r="M55" s="150">
        <f>'3...Material'!E112</f>
        <v>6600</v>
      </c>
      <c r="N55" s="397">
        <v>800</v>
      </c>
      <c r="O55" s="398">
        <v>0</v>
      </c>
      <c r="P55" s="397">
        <v>2500</v>
      </c>
      <c r="Q55" s="399">
        <v>-0.1</v>
      </c>
      <c r="R55" s="397"/>
      <c r="S55" s="398"/>
      <c r="T55" s="397"/>
      <c r="U55" s="398"/>
      <c r="V55" s="177">
        <v>0.04</v>
      </c>
      <c r="W55" s="37">
        <f t="shared" si="23"/>
        <v>0.04</v>
      </c>
      <c r="X55" s="37">
        <f t="shared" si="24"/>
        <v>-6.0000000000000005E-2</v>
      </c>
      <c r="Y55" s="37">
        <f t="shared" si="25"/>
        <v>0.04</v>
      </c>
      <c r="Z55" s="37">
        <f t="shared" si="26"/>
        <v>0.04</v>
      </c>
      <c r="AA55" s="37">
        <f t="shared" si="27"/>
        <v>0.04</v>
      </c>
      <c r="AB55" s="37">
        <f t="shared" si="28"/>
        <v>0.04</v>
      </c>
      <c r="AC55" s="37">
        <f t="shared" si="29"/>
        <v>0.14000000000000001</v>
      </c>
      <c r="AD55" s="37">
        <f t="shared" si="30"/>
        <v>0.04</v>
      </c>
      <c r="AE55" s="156">
        <f t="shared" si="31"/>
        <v>1.65</v>
      </c>
      <c r="AF55" s="156">
        <f t="shared" si="22"/>
        <v>2.9</v>
      </c>
      <c r="AG55" s="156">
        <f>'8...Loader'!E55*L55</f>
        <v>2.5499999999999998</v>
      </c>
      <c r="AH55" s="170">
        <v>1.5</v>
      </c>
      <c r="AI55" s="170">
        <v>1.5</v>
      </c>
      <c r="AJ55" s="158">
        <v>54</v>
      </c>
      <c r="AK55" s="154">
        <v>0.93</v>
      </c>
      <c r="AL55" s="170">
        <v>0.5</v>
      </c>
      <c r="AM55" s="170">
        <v>0.5</v>
      </c>
      <c r="AN55" s="170"/>
      <c r="AO55" s="170"/>
      <c r="AP55" s="170"/>
      <c r="AQ55" s="170"/>
      <c r="AR55" s="170">
        <v>1</v>
      </c>
      <c r="AS55" s="170">
        <v>0.5</v>
      </c>
    </row>
    <row r="56" spans="1:45" x14ac:dyDescent="0.2">
      <c r="A56" s="97" t="str">
        <f>'4...Earthwrk'!B114</f>
        <v>Haul cover material</v>
      </c>
      <c r="B56" s="157" t="str">
        <f>'4...Earthwrk'!C114</f>
        <v>Spring Gulch RP</v>
      </c>
      <c r="C56" s="157" t="str">
        <f>'4...Earthwrk'!D114</f>
        <v>Front RP Long</v>
      </c>
      <c r="D56" s="100">
        <f>'3...Material'!G113</f>
        <v>777</v>
      </c>
      <c r="E56" s="28">
        <f>'4...Earthwrk'!G114</f>
        <v>217318</v>
      </c>
      <c r="F56" s="176">
        <f t="shared" si="12"/>
        <v>28.973500000000001</v>
      </c>
      <c r="G56" s="150">
        <v>8</v>
      </c>
      <c r="H56" s="28">
        <f>AJ56*L56*'8...Loader'!D56*G56/F56*AK56</f>
        <v>718.83750323571542</v>
      </c>
      <c r="I56" s="29">
        <f>IF(E56/H56&lt;'8...Loader'!$G56,'8...Loader'!$G56,E56/H56)</f>
        <v>302.31867288752022</v>
      </c>
      <c r="J56" s="156">
        <v>55</v>
      </c>
      <c r="K56" s="156">
        <v>55</v>
      </c>
      <c r="L56" s="29">
        <f>IF(TRUNC(J56/'8...Loader'!D56)&lt;TRUNC(K56/'8...Loader'!D56),TRUNC(K56/'8...Loader'!D56),TRUNC(J56/'8...Loader'!D56))</f>
        <v>4</v>
      </c>
      <c r="M56" s="150">
        <f>'3...Material'!E113</f>
        <v>22574</v>
      </c>
      <c r="N56" s="397">
        <v>3800</v>
      </c>
      <c r="O56" s="398">
        <v>0.03</v>
      </c>
      <c r="P56" s="397">
        <v>7845</v>
      </c>
      <c r="Q56" s="399">
        <v>0.1</v>
      </c>
      <c r="R56" s="397">
        <v>250</v>
      </c>
      <c r="S56" s="398">
        <v>0</v>
      </c>
      <c r="T56" s="397"/>
      <c r="U56" s="398"/>
      <c r="V56" s="177">
        <v>0.04</v>
      </c>
      <c r="W56" s="37">
        <f t="shared" si="23"/>
        <v>7.0000000000000007E-2</v>
      </c>
      <c r="X56" s="37">
        <f t="shared" si="24"/>
        <v>0.14000000000000001</v>
      </c>
      <c r="Y56" s="37">
        <f t="shared" si="25"/>
        <v>0.04</v>
      </c>
      <c r="Z56" s="37">
        <f t="shared" si="26"/>
        <v>0.04</v>
      </c>
      <c r="AA56" s="37">
        <f t="shared" si="27"/>
        <v>0.04</v>
      </c>
      <c r="AB56" s="37">
        <f t="shared" si="28"/>
        <v>0.04</v>
      </c>
      <c r="AC56" s="37">
        <f t="shared" si="29"/>
        <v>-6.0000000000000005E-2</v>
      </c>
      <c r="AD56" s="37">
        <f t="shared" si="30"/>
        <v>1.0000000000000002E-2</v>
      </c>
      <c r="AE56" s="156">
        <f t="shared" si="31"/>
        <v>18.805</v>
      </c>
      <c r="AF56" s="156">
        <f t="shared" si="22"/>
        <v>3.5685000000000002</v>
      </c>
      <c r="AG56" s="156">
        <f>'8...Loader'!E56*L56</f>
        <v>3.5999999999999996</v>
      </c>
      <c r="AH56" s="170">
        <v>1.5</v>
      </c>
      <c r="AI56" s="170">
        <v>1.5</v>
      </c>
      <c r="AJ56" s="158">
        <v>54</v>
      </c>
      <c r="AK56" s="154">
        <v>0.93</v>
      </c>
      <c r="AL56" s="170">
        <v>0.8</v>
      </c>
      <c r="AM56" s="170">
        <v>2</v>
      </c>
      <c r="AN56" s="170">
        <v>0.3</v>
      </c>
      <c r="AO56" s="170"/>
      <c r="AP56" s="170"/>
      <c r="AQ56" s="170">
        <v>0.3</v>
      </c>
      <c r="AR56" s="170">
        <v>0.3</v>
      </c>
      <c r="AS56" s="170">
        <v>0.3</v>
      </c>
    </row>
    <row r="57" spans="1:45" x14ac:dyDescent="0.2">
      <c r="A57" s="97" t="str">
        <f>'4...Earthwrk'!B115</f>
        <v>Haul cover material</v>
      </c>
      <c r="B57" s="157" t="str">
        <f>'4...Earthwrk'!C115</f>
        <v>Spring Gulch RP</v>
      </c>
      <c r="C57" s="157" t="str">
        <f>'4...Earthwrk'!D115</f>
        <v>Front RP Middle</v>
      </c>
      <c r="D57" s="100">
        <f>'3...Material'!G114</f>
        <v>777</v>
      </c>
      <c r="E57" s="28">
        <f>'4...Earthwrk'!G115</f>
        <v>727727</v>
      </c>
      <c r="F57" s="176">
        <f t="shared" ref="F57:F58" si="32">SUM(AE57:AI57)</f>
        <v>23.984000000000002</v>
      </c>
      <c r="G57" s="150">
        <v>7</v>
      </c>
      <c r="H57" s="28">
        <f>AJ57*L57*'8...Loader'!D57*G57/F57*AK57</f>
        <v>759.83295530353564</v>
      </c>
      <c r="I57" s="29">
        <f>IF(E57/H57&lt;'8...Loader'!$G57,'8...Loader'!$G57,E57/H57)</f>
        <v>1006.3042059383157</v>
      </c>
      <c r="J57" s="156">
        <v>55</v>
      </c>
      <c r="K57" s="156">
        <v>55</v>
      </c>
      <c r="L57" s="29">
        <f>IF(TRUNC(J57/'8...Loader'!D57)&lt;TRUNC(K57/'8...Loader'!D57),TRUNC(K57/'8...Loader'!D57),TRUNC(J57/'8...Loader'!D57))</f>
        <v>4</v>
      </c>
      <c r="M57" s="150">
        <f>'3...Material'!E114</f>
        <v>18792</v>
      </c>
      <c r="N57" s="397">
        <v>3800</v>
      </c>
      <c r="O57" s="398">
        <v>0.03</v>
      </c>
      <c r="P57" s="397">
        <v>4800</v>
      </c>
      <c r="Q57" s="399">
        <v>0.1</v>
      </c>
      <c r="R57" s="397">
        <v>1200</v>
      </c>
      <c r="S57" s="398">
        <v>0</v>
      </c>
      <c r="T57" s="397"/>
      <c r="U57" s="398"/>
      <c r="V57" s="177">
        <v>0.04</v>
      </c>
      <c r="W57" s="37">
        <f t="shared" si="23"/>
        <v>7.0000000000000007E-2</v>
      </c>
      <c r="X57" s="37">
        <f t="shared" si="24"/>
        <v>0.14000000000000001</v>
      </c>
      <c r="Y57" s="37">
        <f t="shared" si="25"/>
        <v>0.04</v>
      </c>
      <c r="Z57" s="37">
        <f t="shared" si="26"/>
        <v>0.04</v>
      </c>
      <c r="AA57" s="37">
        <f t="shared" si="27"/>
        <v>0.04</v>
      </c>
      <c r="AB57" s="37">
        <f t="shared" si="28"/>
        <v>0.04</v>
      </c>
      <c r="AC57" s="37">
        <f t="shared" si="29"/>
        <v>-6.0000000000000005E-2</v>
      </c>
      <c r="AD57" s="37">
        <f t="shared" si="30"/>
        <v>1.0000000000000002E-2</v>
      </c>
      <c r="AE57" s="156">
        <f t="shared" si="31"/>
        <v>13.464</v>
      </c>
      <c r="AF57" s="156">
        <f t="shared" si="22"/>
        <v>3.92</v>
      </c>
      <c r="AG57" s="156">
        <f>'8...Loader'!E57*L57</f>
        <v>3.5999999999999996</v>
      </c>
      <c r="AH57" s="170">
        <v>1.5</v>
      </c>
      <c r="AI57" s="170">
        <v>1.5</v>
      </c>
      <c r="AJ57" s="158">
        <v>54</v>
      </c>
      <c r="AK57" s="154">
        <v>0.93</v>
      </c>
      <c r="AL57" s="170">
        <v>0.84</v>
      </c>
      <c r="AM57" s="170">
        <v>2.04</v>
      </c>
      <c r="AN57" s="170">
        <v>0.4</v>
      </c>
      <c r="AO57" s="170"/>
      <c r="AP57" s="170"/>
      <c r="AQ57" s="170">
        <v>0.4</v>
      </c>
      <c r="AR57" s="170">
        <v>0.4</v>
      </c>
      <c r="AS57" s="170">
        <v>0.4</v>
      </c>
    </row>
    <row r="58" spans="1:45" x14ac:dyDescent="0.2">
      <c r="A58" s="97" t="str">
        <f>'4...Earthwrk'!B116</f>
        <v>Haul cover material</v>
      </c>
      <c r="B58" s="157" t="str">
        <f>'4...Earthwrk'!C116</f>
        <v>Spring Gulch RP</v>
      </c>
      <c r="C58" s="157" t="str">
        <f>'4...Earthwrk'!D116</f>
        <v>Front RP Short</v>
      </c>
      <c r="D58" s="100">
        <f>'3...Material'!G115</f>
        <v>777</v>
      </c>
      <c r="E58" s="28">
        <f>'4...Earthwrk'!G116</f>
        <v>1228905</v>
      </c>
      <c r="F58" s="176">
        <f t="shared" si="32"/>
        <v>17.015999999999998</v>
      </c>
      <c r="G58" s="150">
        <v>5</v>
      </c>
      <c r="H58" s="28">
        <f>AJ58*L58*'8...Loader'!D58*G58/F58*AK58</f>
        <v>764.98730606488027</v>
      </c>
      <c r="I58" s="29">
        <f>IF(E58/H58&lt;'8...Loader'!$G58,'8...Loader'!$G58,E58/H58)</f>
        <v>1699.3354241338109</v>
      </c>
      <c r="J58" s="156">
        <v>55</v>
      </c>
      <c r="K58" s="156">
        <v>55</v>
      </c>
      <c r="L58" s="29">
        <f>IF(TRUNC(J58/'8...Loader'!D58)&lt;TRUNC(K58/'8...Loader'!D58),TRUNC(K58/'8...Loader'!D58),TRUNC(J58/'8...Loader'!D58))</f>
        <v>4</v>
      </c>
      <c r="M58" s="150">
        <f>'3...Material'!E115</f>
        <v>13262</v>
      </c>
      <c r="N58" s="397">
        <v>2500</v>
      </c>
      <c r="O58" s="398">
        <v>-0.02</v>
      </c>
      <c r="P58" s="397">
        <v>4000</v>
      </c>
      <c r="Q58" s="399">
        <v>-0.1</v>
      </c>
      <c r="R58" s="397">
        <v>1700</v>
      </c>
      <c r="S58" s="398">
        <v>0</v>
      </c>
      <c r="T58" s="397"/>
      <c r="U58" s="398"/>
      <c r="V58" s="177">
        <v>0.04</v>
      </c>
      <c r="W58" s="37">
        <f t="shared" si="23"/>
        <v>0.02</v>
      </c>
      <c r="X58" s="37">
        <f t="shared" si="24"/>
        <v>-6.0000000000000005E-2</v>
      </c>
      <c r="Y58" s="37">
        <f t="shared" si="25"/>
        <v>0.04</v>
      </c>
      <c r="Z58" s="37">
        <f t="shared" si="26"/>
        <v>0.04</v>
      </c>
      <c r="AA58" s="37">
        <f t="shared" si="27"/>
        <v>0.04</v>
      </c>
      <c r="AB58" s="37">
        <f t="shared" si="28"/>
        <v>0.04</v>
      </c>
      <c r="AC58" s="37">
        <f t="shared" si="29"/>
        <v>0.14000000000000001</v>
      </c>
      <c r="AD58" s="37">
        <f t="shared" si="30"/>
        <v>0.06</v>
      </c>
      <c r="AE58" s="156">
        <f t="shared" si="31"/>
        <v>3.6080000000000005</v>
      </c>
      <c r="AF58" s="156">
        <f t="shared" si="22"/>
        <v>6.8079999999999998</v>
      </c>
      <c r="AG58" s="156">
        <f>'8...Loader'!E58*L58</f>
        <v>3.5999999999999996</v>
      </c>
      <c r="AH58" s="170">
        <v>1.5</v>
      </c>
      <c r="AI58" s="170">
        <v>1.5</v>
      </c>
      <c r="AJ58" s="158">
        <v>54</v>
      </c>
      <c r="AK58" s="154">
        <v>0.93</v>
      </c>
      <c r="AL58" s="170">
        <v>0.44</v>
      </c>
      <c r="AM58" s="170">
        <v>0.44</v>
      </c>
      <c r="AN58" s="170">
        <v>0.44</v>
      </c>
      <c r="AO58" s="170"/>
      <c r="AP58" s="170"/>
      <c r="AQ58" s="170">
        <v>0.44</v>
      </c>
      <c r="AR58" s="170">
        <v>1.24</v>
      </c>
      <c r="AS58" s="170">
        <v>0.44</v>
      </c>
    </row>
    <row r="59" spans="1:45" x14ac:dyDescent="0.2">
      <c r="A59" s="97" t="str">
        <f>'4...Earthwrk'!B117</f>
        <v>Haul cover material</v>
      </c>
      <c r="B59" s="157" t="str">
        <f>'4...Earthwrk'!C117</f>
        <v>Spring Gulch RP</v>
      </c>
      <c r="C59" s="157" t="str">
        <f>'4...Earthwrk'!D117</f>
        <v>Blind Gulch/Sulphur RP</v>
      </c>
      <c r="D59" s="100">
        <f>'3...Material'!G116</f>
        <v>740</v>
      </c>
      <c r="E59" s="28">
        <f>'4...Earthwrk'!G117</f>
        <v>279311</v>
      </c>
      <c r="F59" s="176">
        <f t="shared" si="12"/>
        <v>20.292750000000002</v>
      </c>
      <c r="G59" s="150">
        <v>8</v>
      </c>
      <c r="H59" s="28">
        <f>AJ59*L59*'8...Loader'!D59*G59/F59*AK59</f>
        <v>445.45958531988026</v>
      </c>
      <c r="I59" s="29">
        <f>IF(E59/H59&lt;'8...Loader'!$G59,'8...Loader'!$G59,E59/H59)</f>
        <v>630.33147484401957</v>
      </c>
      <c r="J59" s="156">
        <v>25</v>
      </c>
      <c r="K59" s="156">
        <v>25</v>
      </c>
      <c r="L59" s="29">
        <f>IF(TRUNC(J59/'8...Loader'!D59)&lt;TRUNC(K59/'8...Loader'!D59),TRUNC(K59/'8...Loader'!D59),TRUNC(J59/'8...Loader'!D59))</f>
        <v>5</v>
      </c>
      <c r="M59" s="150">
        <f>'3...Material'!E116</f>
        <v>14930</v>
      </c>
      <c r="N59" s="397">
        <v>5020</v>
      </c>
      <c r="O59" s="398">
        <v>0</v>
      </c>
      <c r="P59" s="397">
        <v>2445</v>
      </c>
      <c r="Q59" s="399">
        <v>0.12</v>
      </c>
      <c r="R59" s="397"/>
      <c r="S59" s="398"/>
      <c r="T59" s="397"/>
      <c r="U59" s="398"/>
      <c r="V59" s="177">
        <v>0.04</v>
      </c>
      <c r="W59" s="37">
        <f t="shared" si="23"/>
        <v>0.04</v>
      </c>
      <c r="X59" s="37">
        <f t="shared" si="24"/>
        <v>0.16</v>
      </c>
      <c r="Y59" s="37">
        <f t="shared" si="25"/>
        <v>0.04</v>
      </c>
      <c r="Z59" s="37">
        <f t="shared" si="26"/>
        <v>0.04</v>
      </c>
      <c r="AA59" s="37">
        <f t="shared" si="27"/>
        <v>0.04</v>
      </c>
      <c r="AB59" s="37">
        <f t="shared" si="28"/>
        <v>0.04</v>
      </c>
      <c r="AC59" s="37">
        <f t="shared" si="29"/>
        <v>-7.9999999999999988E-2</v>
      </c>
      <c r="AD59" s="37">
        <f t="shared" si="30"/>
        <v>0.04</v>
      </c>
      <c r="AE59" s="156">
        <f t="shared" si="31"/>
        <v>9.1440000000000001</v>
      </c>
      <c r="AF59" s="156">
        <f t="shared" si="22"/>
        <v>5.5987499999999999</v>
      </c>
      <c r="AG59" s="156">
        <f>'8...Loader'!E59*L59</f>
        <v>2.5499999999999998</v>
      </c>
      <c r="AH59" s="170">
        <v>1.5</v>
      </c>
      <c r="AI59" s="170">
        <v>1.5</v>
      </c>
      <c r="AJ59" s="158">
        <v>54</v>
      </c>
      <c r="AK59" s="154">
        <v>0.93</v>
      </c>
      <c r="AL59" s="170">
        <v>0.75</v>
      </c>
      <c r="AM59" s="170">
        <v>2.2000000000000002</v>
      </c>
      <c r="AN59" s="170"/>
      <c r="AO59" s="170"/>
      <c r="AP59" s="170"/>
      <c r="AQ59" s="170"/>
      <c r="AR59" s="170">
        <v>0.75</v>
      </c>
      <c r="AS59" s="170">
        <v>0.75</v>
      </c>
    </row>
    <row r="60" spans="1:45" x14ac:dyDescent="0.2">
      <c r="A60" s="97"/>
    </row>
    <row r="61" spans="1:45" x14ac:dyDescent="0.2">
      <c r="A61" s="97"/>
    </row>
  </sheetData>
  <pageMargins left="0.3" right="0.28999999999999998" top="0.42" bottom="0.36" header="0.5" footer="0.5"/>
  <pageSetup scale="55" fitToWidth="3" orientation="portrait" r:id="rId1"/>
  <colBreaks count="1" manualBreakCount="1">
    <brk id="3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F7"/>
  <sheetViews>
    <sheetView workbookViewId="0"/>
  </sheetViews>
  <sheetFormatPr defaultColWidth="12.5703125" defaultRowHeight="15" x14ac:dyDescent="0.2"/>
  <cols>
    <col min="1" max="4" width="12.5703125" style="105"/>
    <col min="5" max="5" width="71.42578125" style="105" customWidth="1"/>
    <col min="6" max="16384" width="12.5703125" style="105"/>
  </cols>
  <sheetData>
    <row r="1" spans="1:6" x14ac:dyDescent="0.2">
      <c r="F1" s="106" t="str">
        <f>General!$D$1</f>
        <v>Questa Mine Site</v>
      </c>
    </row>
    <row r="2" spans="1:6" x14ac:dyDescent="0.2">
      <c r="F2" s="106" t="s">
        <v>394</v>
      </c>
    </row>
    <row r="3" spans="1:6" x14ac:dyDescent="0.2">
      <c r="F3" s="114">
        <f>General!$D$2</f>
        <v>37256</v>
      </c>
    </row>
    <row r="4" spans="1:6" x14ac:dyDescent="0.2">
      <c r="E4" s="153" t="str">
        <f>General!$C$3</f>
        <v>Updated by Kiewit/AECOM</v>
      </c>
      <c r="F4" s="173">
        <f>General!$D$3</f>
        <v>43419</v>
      </c>
    </row>
    <row r="7" spans="1:6" x14ac:dyDescent="0.2">
      <c r="A7" s="105" t="s">
        <v>395</v>
      </c>
    </row>
  </sheetData>
  <printOptions horizontalCentered="1"/>
  <pageMargins left="0.3" right="0.3" top="1" bottom="1" header="0.5" footer="0.5"/>
  <pageSetup scale="9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X21"/>
  <sheetViews>
    <sheetView workbookViewId="0">
      <selection activeCell="H11" sqref="H11"/>
    </sheetView>
  </sheetViews>
  <sheetFormatPr defaultColWidth="12.5703125" defaultRowHeight="15" x14ac:dyDescent="0.2"/>
  <cols>
    <col min="1" max="1" width="32.85546875" style="105" customWidth="1"/>
    <col min="2" max="2" width="12.5703125" style="105"/>
    <col min="3" max="3" width="13.7109375" style="105" customWidth="1"/>
    <col min="4" max="4" width="13.140625" style="105" customWidth="1"/>
    <col min="5" max="5" width="12.140625" style="105" customWidth="1"/>
    <col min="6" max="6" width="10.7109375" style="105" customWidth="1"/>
    <col min="7" max="7" width="13.28515625" style="105" customWidth="1"/>
    <col min="8" max="8" width="11.7109375" style="105" customWidth="1"/>
    <col min="9" max="13" width="12.5703125" style="105"/>
    <col min="14" max="14" width="9" style="105" customWidth="1"/>
    <col min="15" max="15" width="10.140625" style="105" customWidth="1"/>
    <col min="16" max="16" width="12.5703125" style="105"/>
    <col min="17" max="17" width="9.85546875" style="105" customWidth="1"/>
    <col min="18" max="18" width="11.28515625" style="105" customWidth="1"/>
    <col min="19" max="16384" width="12.5703125" style="105"/>
  </cols>
  <sheetData>
    <row r="1" spans="1:24" x14ac:dyDescent="0.2">
      <c r="A1" s="102" t="str">
        <f>General!A1</f>
        <v>FINANCIAL ASSURANCE AMOUNT CALCULATION</v>
      </c>
      <c r="B1" s="102"/>
      <c r="C1" s="102"/>
      <c r="D1" s="102"/>
      <c r="E1" s="102"/>
      <c r="R1" s="106" t="str">
        <f>General!D1</f>
        <v>Questa Mine Site</v>
      </c>
    </row>
    <row r="2" spans="1:24" x14ac:dyDescent="0.2">
      <c r="A2" s="102" t="str">
        <f>General!A2</f>
        <v>Chevron Mining Inc.</v>
      </c>
      <c r="B2" s="102"/>
      <c r="C2" s="102"/>
      <c r="D2" s="102"/>
      <c r="E2" s="102"/>
      <c r="R2" s="106" t="s">
        <v>396</v>
      </c>
    </row>
    <row r="3" spans="1:24" x14ac:dyDescent="0.2">
      <c r="A3" s="4" t="s">
        <v>397</v>
      </c>
      <c r="B3" s="102"/>
      <c r="C3" s="102"/>
      <c r="D3" s="102"/>
      <c r="E3" s="102"/>
      <c r="R3" s="114">
        <f>General!$D$2</f>
        <v>37256</v>
      </c>
    </row>
    <row r="4" spans="1:24" x14ac:dyDescent="0.2">
      <c r="A4" s="102"/>
      <c r="B4" s="102"/>
      <c r="C4" s="102"/>
      <c r="D4" s="102"/>
      <c r="E4" s="102"/>
      <c r="Q4" s="153" t="str">
        <f>General!$C$3</f>
        <v>Updated by Kiewit/AECOM</v>
      </c>
      <c r="R4" s="173">
        <f>General!$D$3</f>
        <v>43419</v>
      </c>
    </row>
    <row r="5" spans="1:24" x14ac:dyDescent="0.2">
      <c r="A5" s="4"/>
      <c r="B5" s="102"/>
      <c r="C5" s="102"/>
      <c r="D5" s="102"/>
      <c r="E5" s="102"/>
      <c r="F5" s="102"/>
      <c r="G5" s="106"/>
      <c r="H5" s="106"/>
    </row>
    <row r="6" spans="1:24" x14ac:dyDescent="0.2">
      <c r="A6" s="4"/>
      <c r="B6" s="102"/>
      <c r="C6" s="102"/>
      <c r="D6" s="102"/>
      <c r="E6" s="102"/>
      <c r="F6" s="102"/>
      <c r="G6" s="106"/>
      <c r="H6" s="106"/>
    </row>
    <row r="7" spans="1:24" x14ac:dyDescent="0.2">
      <c r="A7" s="97"/>
      <c r="B7" s="154"/>
      <c r="C7" s="154"/>
      <c r="D7" s="97"/>
      <c r="E7" s="155"/>
      <c r="F7" s="96"/>
      <c r="G7" s="96"/>
      <c r="H7" s="96"/>
      <c r="I7" s="96" t="s">
        <v>305</v>
      </c>
      <c r="J7" s="96"/>
      <c r="K7" s="96"/>
      <c r="L7" s="96"/>
      <c r="M7" s="96"/>
      <c r="N7" s="96"/>
      <c r="O7" s="96"/>
      <c r="P7" s="98" t="s">
        <v>398</v>
      </c>
      <c r="Q7" s="98"/>
      <c r="R7" s="96"/>
      <c r="S7" s="96"/>
      <c r="T7" s="96"/>
      <c r="U7" s="96"/>
      <c r="V7" s="96"/>
      <c r="W7" s="99"/>
      <c r="X7" s="99"/>
    </row>
    <row r="8" spans="1:24" x14ac:dyDescent="0.2">
      <c r="A8" s="97"/>
      <c r="B8" s="96"/>
      <c r="C8" s="96"/>
      <c r="D8" s="154"/>
      <c r="E8" s="153"/>
      <c r="F8" s="98"/>
      <c r="G8" s="98"/>
      <c r="H8" s="98" t="s">
        <v>270</v>
      </c>
      <c r="I8" s="98"/>
      <c r="J8" s="98"/>
      <c r="K8" s="96"/>
      <c r="L8" s="98"/>
      <c r="M8" s="98"/>
      <c r="N8" s="98"/>
      <c r="O8" s="98" t="s">
        <v>371</v>
      </c>
      <c r="P8" s="98" t="s">
        <v>399</v>
      </c>
      <c r="Q8" s="98" t="s">
        <v>378</v>
      </c>
      <c r="R8" s="98"/>
      <c r="S8" s="96"/>
      <c r="T8" s="96"/>
      <c r="U8" s="96"/>
      <c r="V8" s="96"/>
      <c r="W8" s="99"/>
      <c r="X8" s="99"/>
    </row>
    <row r="9" spans="1:24" x14ac:dyDescent="0.2">
      <c r="A9" s="96"/>
      <c r="B9" s="96"/>
      <c r="C9" s="96"/>
      <c r="D9" s="96"/>
      <c r="E9" s="98"/>
      <c r="F9" s="98" t="s">
        <v>363</v>
      </c>
      <c r="G9" s="96"/>
      <c r="H9" s="98" t="s">
        <v>311</v>
      </c>
      <c r="I9" s="98" t="s">
        <v>383</v>
      </c>
      <c r="J9" s="98" t="s">
        <v>361</v>
      </c>
      <c r="K9" s="98" t="s">
        <v>267</v>
      </c>
      <c r="L9" s="98" t="s">
        <v>365</v>
      </c>
      <c r="M9" s="98" t="s">
        <v>271</v>
      </c>
      <c r="N9" s="98" t="s">
        <v>366</v>
      </c>
      <c r="O9" s="98" t="s">
        <v>400</v>
      </c>
      <c r="P9" s="98" t="s">
        <v>262</v>
      </c>
      <c r="Q9" s="98" t="s">
        <v>400</v>
      </c>
      <c r="R9" s="98" t="s">
        <v>316</v>
      </c>
      <c r="S9" s="96"/>
      <c r="T9" s="96"/>
      <c r="U9" s="96"/>
      <c r="V9" s="96"/>
      <c r="W9" s="99"/>
      <c r="X9" s="99"/>
    </row>
    <row r="10" spans="1:24" x14ac:dyDescent="0.2">
      <c r="A10" s="96" t="s">
        <v>318</v>
      </c>
      <c r="B10" s="96" t="s">
        <v>272</v>
      </c>
      <c r="C10" s="96" t="s">
        <v>273</v>
      </c>
      <c r="D10" s="96" t="s">
        <v>264</v>
      </c>
      <c r="E10" s="98" t="s">
        <v>296</v>
      </c>
      <c r="F10" s="98" t="s">
        <v>320</v>
      </c>
      <c r="G10" s="98" t="s">
        <v>319</v>
      </c>
      <c r="H10" s="98" t="s">
        <v>320</v>
      </c>
      <c r="I10" s="98" t="s">
        <v>369</v>
      </c>
      <c r="J10" s="98" t="s">
        <v>369</v>
      </c>
      <c r="K10" s="98" t="s">
        <v>401</v>
      </c>
      <c r="L10" s="98" t="s">
        <v>370</v>
      </c>
      <c r="M10" s="98" t="s">
        <v>274</v>
      </c>
      <c r="N10" s="98" t="s">
        <v>320</v>
      </c>
      <c r="O10" s="98" t="s">
        <v>320</v>
      </c>
      <c r="P10" s="98" t="s">
        <v>320</v>
      </c>
      <c r="Q10" s="98" t="s">
        <v>320</v>
      </c>
      <c r="R10" s="98" t="s">
        <v>324</v>
      </c>
      <c r="S10" s="96"/>
      <c r="T10" s="96"/>
      <c r="U10" s="96"/>
      <c r="V10" s="96"/>
      <c r="W10" s="99"/>
      <c r="X10" s="99"/>
    </row>
    <row r="11" spans="1:24" x14ac:dyDescent="0.2">
      <c r="A11" s="96"/>
      <c r="B11" s="96"/>
      <c r="C11" s="96"/>
      <c r="D11" s="96"/>
      <c r="E11" s="98" t="s">
        <v>328</v>
      </c>
      <c r="F11" s="98" t="s">
        <v>402</v>
      </c>
      <c r="G11" s="98" t="s">
        <v>329</v>
      </c>
      <c r="H11" s="98" t="s">
        <v>330</v>
      </c>
      <c r="I11" s="98"/>
      <c r="J11" s="98"/>
      <c r="K11" s="98"/>
      <c r="L11" s="98"/>
      <c r="M11" s="98" t="s">
        <v>332</v>
      </c>
      <c r="N11" s="98" t="s">
        <v>373</v>
      </c>
      <c r="O11" s="98" t="s">
        <v>373</v>
      </c>
      <c r="P11" s="98" t="s">
        <v>373</v>
      </c>
      <c r="Q11" s="98" t="s">
        <v>373</v>
      </c>
      <c r="R11" s="98" t="s">
        <v>333</v>
      </c>
      <c r="S11" s="96"/>
      <c r="T11" s="96"/>
      <c r="U11" s="96"/>
      <c r="V11" s="96"/>
      <c r="W11" s="99"/>
      <c r="X11" s="99"/>
    </row>
    <row r="12" spans="1:24" x14ac:dyDescent="0.2">
      <c r="A12" s="81"/>
      <c r="B12" s="96"/>
      <c r="C12" s="96"/>
      <c r="D12" s="96"/>
      <c r="E12" s="96"/>
      <c r="F12" s="96"/>
      <c r="G12" s="96"/>
      <c r="H12" s="96"/>
      <c r="I12" s="96"/>
      <c r="J12" s="96"/>
      <c r="K12" s="96"/>
      <c r="L12" s="96"/>
      <c r="M12" s="96"/>
      <c r="N12" s="96"/>
      <c r="O12" s="96"/>
      <c r="P12" s="96"/>
      <c r="Q12" s="96"/>
      <c r="R12" s="96"/>
      <c r="S12" s="96"/>
      <c r="T12" s="96"/>
      <c r="U12" s="96"/>
      <c r="V12" s="96"/>
      <c r="W12" s="99"/>
      <c r="X12" s="99"/>
    </row>
    <row r="13" spans="1:24" x14ac:dyDescent="0.2">
      <c r="A13" s="97"/>
      <c r="B13" s="96"/>
      <c r="C13" s="96"/>
      <c r="D13" s="97"/>
      <c r="E13" s="28"/>
      <c r="F13" s="38"/>
      <c r="G13" s="28"/>
      <c r="H13" s="28"/>
      <c r="I13" s="156"/>
      <c r="J13" s="156"/>
      <c r="K13" s="9"/>
      <c r="L13" s="178"/>
      <c r="M13" s="150"/>
      <c r="N13" s="156"/>
      <c r="O13" s="170"/>
      <c r="P13" s="156"/>
      <c r="Q13" s="156"/>
      <c r="R13" s="158"/>
      <c r="S13" s="96"/>
      <c r="T13" s="96"/>
      <c r="U13" s="96"/>
      <c r="V13" s="96"/>
      <c r="W13" s="99"/>
      <c r="X13" s="99"/>
    </row>
    <row r="14" spans="1:24" x14ac:dyDescent="0.2">
      <c r="A14" s="103"/>
      <c r="B14" s="103"/>
      <c r="C14" s="103"/>
      <c r="D14" s="103"/>
      <c r="E14" s="103"/>
      <c r="F14" s="103"/>
      <c r="G14" s="103"/>
      <c r="H14" s="103"/>
      <c r="I14" s="103"/>
      <c r="J14" s="103"/>
      <c r="K14" s="103"/>
      <c r="L14" s="103"/>
      <c r="M14" s="103"/>
      <c r="N14" s="103"/>
      <c r="O14" s="103"/>
      <c r="P14" s="103"/>
      <c r="Q14" s="103"/>
      <c r="R14" s="103"/>
      <c r="S14" s="103"/>
      <c r="T14" s="103"/>
      <c r="U14" s="103"/>
      <c r="V14" s="103"/>
    </row>
    <row r="15" spans="1:24" x14ac:dyDescent="0.2">
      <c r="A15" s="103"/>
      <c r="B15" s="103"/>
      <c r="C15" s="103"/>
      <c r="D15" s="103"/>
      <c r="E15" s="103"/>
      <c r="F15" s="103"/>
      <c r="G15" s="103"/>
      <c r="H15" s="103"/>
      <c r="I15" s="103"/>
      <c r="J15" s="103"/>
      <c r="K15" s="103"/>
      <c r="L15" s="103"/>
      <c r="M15" s="103"/>
      <c r="N15" s="103"/>
      <c r="O15" s="103"/>
      <c r="P15" s="103"/>
      <c r="Q15" s="103"/>
      <c r="R15" s="103"/>
      <c r="S15" s="103"/>
      <c r="T15" s="103"/>
      <c r="U15" s="103"/>
      <c r="V15" s="103"/>
    </row>
    <row r="16" spans="1:24" x14ac:dyDescent="0.2">
      <c r="A16" s="103"/>
      <c r="B16" s="103"/>
      <c r="C16" s="103"/>
      <c r="D16" s="103"/>
      <c r="E16" s="103"/>
      <c r="F16" s="103"/>
      <c r="G16" s="103"/>
      <c r="H16" s="103"/>
      <c r="I16" s="103"/>
      <c r="J16" s="103"/>
      <c r="K16" s="103"/>
      <c r="L16" s="103"/>
      <c r="M16" s="103"/>
      <c r="N16" s="103"/>
      <c r="O16" s="103"/>
      <c r="P16" s="103"/>
      <c r="Q16" s="103"/>
      <c r="R16" s="103"/>
      <c r="S16" s="103"/>
      <c r="T16" s="103"/>
      <c r="U16" s="103"/>
      <c r="V16" s="103"/>
    </row>
    <row r="17" spans="1:22" x14ac:dyDescent="0.2">
      <c r="A17" s="103"/>
      <c r="B17" s="103"/>
      <c r="C17" s="103"/>
      <c r="D17" s="103"/>
      <c r="E17" s="103"/>
      <c r="F17" s="103"/>
      <c r="G17" s="103"/>
      <c r="H17" s="103"/>
      <c r="I17" s="103"/>
      <c r="J17" s="103"/>
      <c r="K17" s="103"/>
      <c r="L17" s="103"/>
      <c r="M17" s="103"/>
      <c r="N17" s="103"/>
      <c r="O17" s="103"/>
      <c r="P17" s="103"/>
      <c r="Q17" s="103"/>
      <c r="R17" s="103"/>
      <c r="S17" s="103"/>
      <c r="T17" s="103"/>
      <c r="U17" s="103"/>
      <c r="V17" s="103"/>
    </row>
    <row r="18" spans="1:22" x14ac:dyDescent="0.2">
      <c r="A18" s="103"/>
      <c r="B18" s="103"/>
      <c r="C18" s="103"/>
      <c r="D18" s="103"/>
      <c r="E18" s="103"/>
      <c r="F18" s="103"/>
      <c r="G18" s="103"/>
      <c r="H18" s="103"/>
      <c r="I18" s="103"/>
      <c r="J18" s="103"/>
      <c r="K18" s="103"/>
      <c r="L18" s="103"/>
      <c r="M18" s="103"/>
      <c r="N18" s="103"/>
      <c r="O18" s="103"/>
      <c r="P18" s="103"/>
      <c r="Q18" s="103"/>
      <c r="R18" s="103"/>
      <c r="S18" s="103"/>
      <c r="T18" s="103"/>
      <c r="U18" s="103"/>
      <c r="V18" s="103"/>
    </row>
    <row r="19" spans="1:22" x14ac:dyDescent="0.2">
      <c r="A19" s="103"/>
      <c r="B19" s="103"/>
      <c r="C19" s="103"/>
      <c r="D19" s="103"/>
      <c r="E19" s="103"/>
      <c r="F19" s="103"/>
      <c r="G19" s="103"/>
      <c r="H19" s="103"/>
      <c r="I19" s="103"/>
      <c r="J19" s="103"/>
      <c r="K19" s="103"/>
      <c r="L19" s="103"/>
      <c r="M19" s="103"/>
      <c r="N19" s="103"/>
      <c r="O19" s="103"/>
      <c r="P19" s="103"/>
      <c r="Q19" s="103"/>
      <c r="R19" s="103"/>
      <c r="S19" s="103"/>
      <c r="T19" s="103"/>
      <c r="U19" s="103"/>
      <c r="V19" s="103"/>
    </row>
    <row r="20" spans="1:22" x14ac:dyDescent="0.2">
      <c r="A20" s="103"/>
      <c r="B20" s="103"/>
      <c r="C20" s="103"/>
      <c r="D20" s="103"/>
      <c r="E20" s="103"/>
      <c r="F20" s="103"/>
      <c r="G20" s="103"/>
      <c r="H20" s="103"/>
      <c r="I20" s="103"/>
      <c r="J20" s="103"/>
      <c r="K20" s="103"/>
      <c r="L20" s="103"/>
      <c r="M20" s="103"/>
      <c r="N20" s="103"/>
      <c r="O20" s="103"/>
      <c r="P20" s="103"/>
      <c r="Q20" s="103"/>
      <c r="R20" s="103"/>
      <c r="S20" s="103"/>
      <c r="T20" s="103"/>
      <c r="U20" s="103"/>
      <c r="V20" s="103"/>
    </row>
    <row r="21" spans="1:22" x14ac:dyDescent="0.2">
      <c r="A21" s="103"/>
      <c r="B21" s="103"/>
      <c r="C21" s="103"/>
      <c r="D21" s="103"/>
      <c r="E21" s="103"/>
      <c r="F21" s="103"/>
      <c r="G21" s="103"/>
      <c r="H21" s="103"/>
      <c r="I21" s="103"/>
      <c r="J21" s="103"/>
      <c r="K21" s="103"/>
      <c r="L21" s="103"/>
      <c r="M21" s="103"/>
      <c r="N21" s="103"/>
      <c r="O21" s="103"/>
      <c r="P21" s="103"/>
      <c r="Q21" s="103"/>
      <c r="R21" s="103"/>
      <c r="S21" s="103"/>
      <c r="T21" s="103"/>
      <c r="U21" s="103"/>
      <c r="V21" s="103"/>
    </row>
  </sheetData>
  <pageMargins left="0.3" right="0.3" top="1" bottom="1" header="0.5" footer="0.5"/>
  <pageSetup scale="5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F7"/>
  <sheetViews>
    <sheetView workbookViewId="0"/>
  </sheetViews>
  <sheetFormatPr defaultColWidth="12.5703125" defaultRowHeight="15" x14ac:dyDescent="0.2"/>
  <cols>
    <col min="1" max="4" width="12.5703125" style="105"/>
    <col min="5" max="5" width="70.42578125" style="105" customWidth="1"/>
    <col min="6" max="6" width="12.5703125" style="105" customWidth="1"/>
    <col min="7" max="16384" width="12.5703125" style="105"/>
  </cols>
  <sheetData>
    <row r="1" spans="1:6" x14ac:dyDescent="0.2">
      <c r="F1" s="106" t="str">
        <f>General!$D$1</f>
        <v>Questa Mine Site</v>
      </c>
    </row>
    <row r="2" spans="1:6" x14ac:dyDescent="0.2">
      <c r="F2" s="106" t="s">
        <v>403</v>
      </c>
    </row>
    <row r="3" spans="1:6" x14ac:dyDescent="0.2">
      <c r="F3" s="114">
        <f>General!$D$2</f>
        <v>37256</v>
      </c>
    </row>
    <row r="4" spans="1:6" x14ac:dyDescent="0.2">
      <c r="E4" s="153" t="str">
        <f>General!$C$3</f>
        <v>Updated by Kiewit/AECOM</v>
      </c>
      <c r="F4" s="173">
        <f>General!$D$3</f>
        <v>43419</v>
      </c>
    </row>
    <row r="7" spans="1:6" x14ac:dyDescent="0.2">
      <c r="A7" s="105" t="s">
        <v>404</v>
      </c>
    </row>
  </sheetData>
  <pageMargins left="0.3" right="0.3" top="1" bottom="1" header="0.5" footer="0.5"/>
  <pageSetup scale="9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U237"/>
  <sheetViews>
    <sheetView workbookViewId="0"/>
  </sheetViews>
  <sheetFormatPr defaultColWidth="12.5703125" defaultRowHeight="15" x14ac:dyDescent="0.2"/>
  <cols>
    <col min="1" max="1" width="3.5703125" style="105" customWidth="1"/>
    <col min="2" max="2" width="29" style="105" customWidth="1"/>
    <col min="3" max="3" width="47.42578125" style="105" bestFit="1" customWidth="1"/>
    <col min="4" max="4" width="27.42578125" style="105" bestFit="1" customWidth="1"/>
    <col min="5" max="5" width="37.42578125" style="105" bestFit="1" customWidth="1"/>
    <col min="6" max="6" width="16.5703125" style="99" bestFit="1" customWidth="1"/>
    <col min="7" max="7" width="10" style="105" customWidth="1"/>
    <col min="8" max="8" width="12.7109375" style="105" customWidth="1"/>
    <col min="9" max="9" width="16.140625" style="105" bestFit="1" customWidth="1"/>
    <col min="10" max="10" width="15.42578125" style="105" bestFit="1" customWidth="1"/>
    <col min="11" max="11" width="9.42578125" style="105" customWidth="1"/>
    <col min="12" max="12" width="12.28515625" style="105" customWidth="1"/>
    <col min="13" max="16384" width="12.5703125" style="105"/>
  </cols>
  <sheetData>
    <row r="1" spans="1:21" x14ac:dyDescent="0.2">
      <c r="A1" s="152" t="s">
        <v>355</v>
      </c>
      <c r="B1" s="152"/>
      <c r="C1" s="152"/>
      <c r="D1" s="152"/>
      <c r="E1" s="152"/>
      <c r="F1" s="97"/>
      <c r="G1" s="152"/>
      <c r="H1" s="152"/>
      <c r="I1" s="152"/>
      <c r="J1" s="152"/>
      <c r="K1" s="103"/>
      <c r="L1" s="104" t="str">
        <f>General!D1</f>
        <v>Questa Mine Site</v>
      </c>
      <c r="N1" s="335"/>
      <c r="O1" s="99"/>
      <c r="P1" s="99"/>
      <c r="Q1" s="99"/>
      <c r="R1" s="99"/>
      <c r="S1" s="99"/>
      <c r="T1" s="99"/>
      <c r="U1" s="99"/>
    </row>
    <row r="2" spans="1:21" x14ac:dyDescent="0.2">
      <c r="A2" s="152" t="s">
        <v>356</v>
      </c>
      <c r="B2" s="152"/>
      <c r="C2" s="152"/>
      <c r="D2" s="152"/>
      <c r="E2" s="152"/>
      <c r="F2" s="97"/>
      <c r="G2" s="152"/>
      <c r="H2" s="152"/>
      <c r="I2" s="152"/>
      <c r="J2" s="152"/>
      <c r="K2" s="103"/>
      <c r="L2" s="104" t="s">
        <v>405</v>
      </c>
      <c r="N2" s="99"/>
      <c r="O2" s="99"/>
      <c r="P2" s="99"/>
      <c r="Q2" s="99"/>
      <c r="R2" s="99"/>
      <c r="S2" s="99"/>
      <c r="T2" s="99"/>
      <c r="U2" s="99"/>
    </row>
    <row r="3" spans="1:21" x14ac:dyDescent="0.2">
      <c r="A3" s="26" t="s">
        <v>406</v>
      </c>
      <c r="B3" s="26"/>
      <c r="C3" s="152"/>
      <c r="D3" s="152"/>
      <c r="E3" s="152"/>
      <c r="F3" s="97"/>
      <c r="G3" s="152"/>
      <c r="H3" s="152"/>
      <c r="I3" s="152"/>
      <c r="J3" s="152"/>
      <c r="K3" s="103"/>
      <c r="L3" s="107">
        <f>General!$D$2</f>
        <v>37256</v>
      </c>
      <c r="N3" s="99"/>
      <c r="O3" s="99"/>
      <c r="P3" s="99"/>
      <c r="Q3" s="99"/>
      <c r="R3" s="99"/>
      <c r="S3" s="99"/>
      <c r="T3" s="99"/>
      <c r="U3" s="99"/>
    </row>
    <row r="4" spans="1:21" x14ac:dyDescent="0.2">
      <c r="A4" s="97"/>
      <c r="B4" s="97"/>
      <c r="C4" s="97"/>
      <c r="D4" s="97"/>
      <c r="E4" s="97"/>
      <c r="F4" s="96"/>
      <c r="G4" s="96"/>
      <c r="H4" s="97"/>
      <c r="I4" s="97"/>
      <c r="J4" s="97"/>
      <c r="K4" s="153" t="str">
        <f>General!C3</f>
        <v>Updated by Kiewit/AECOM</v>
      </c>
      <c r="L4" s="107">
        <f>General!D3</f>
        <v>43419</v>
      </c>
      <c r="N4" s="335"/>
      <c r="O4" s="99"/>
      <c r="P4" s="99"/>
      <c r="Q4" s="99"/>
      <c r="R4" s="99"/>
      <c r="S4" s="99"/>
      <c r="T4" s="99"/>
      <c r="U4" s="99"/>
    </row>
    <row r="5" spans="1:21" x14ac:dyDescent="0.2">
      <c r="A5" s="97"/>
      <c r="B5" s="97"/>
      <c r="C5" s="97"/>
      <c r="D5" s="97"/>
      <c r="E5" s="97"/>
      <c r="F5" s="97"/>
      <c r="G5" s="97"/>
      <c r="H5" s="97"/>
      <c r="I5" s="97"/>
      <c r="J5" s="97"/>
      <c r="K5" s="97"/>
      <c r="L5" s="97"/>
      <c r="N5" s="99"/>
      <c r="O5" s="99"/>
      <c r="P5" s="99"/>
      <c r="Q5" s="99"/>
      <c r="R5" s="99"/>
      <c r="S5" s="99"/>
      <c r="T5" s="99"/>
      <c r="U5" s="99"/>
    </row>
    <row r="6" spans="1:21" x14ac:dyDescent="0.2">
      <c r="A6" s="97" t="s">
        <v>264</v>
      </c>
      <c r="B6" s="97"/>
      <c r="C6" s="97"/>
      <c r="D6" s="97"/>
      <c r="E6" s="97"/>
      <c r="F6" s="389" t="s">
        <v>407</v>
      </c>
      <c r="G6" s="181" t="s">
        <v>408</v>
      </c>
      <c r="H6" s="181" t="s">
        <v>320</v>
      </c>
      <c r="I6" s="181" t="s">
        <v>270</v>
      </c>
      <c r="J6" s="181" t="s">
        <v>270</v>
      </c>
      <c r="K6" s="181" t="s">
        <v>409</v>
      </c>
      <c r="L6" s="153" t="s">
        <v>235</v>
      </c>
      <c r="N6" s="99"/>
      <c r="O6" s="99"/>
      <c r="P6" s="99"/>
      <c r="Q6" s="99"/>
      <c r="R6" s="99"/>
      <c r="S6" s="99"/>
      <c r="T6" s="99"/>
      <c r="U6" s="99"/>
    </row>
    <row r="7" spans="1:21" x14ac:dyDescent="0.2">
      <c r="A7" s="97" t="s">
        <v>410</v>
      </c>
      <c r="B7" s="97"/>
      <c r="C7" s="97" t="s">
        <v>311</v>
      </c>
      <c r="D7" s="97" t="s">
        <v>272</v>
      </c>
      <c r="E7" s="97" t="s">
        <v>273</v>
      </c>
      <c r="F7" s="389" t="s">
        <v>411</v>
      </c>
      <c r="G7" s="181" t="s">
        <v>242</v>
      </c>
      <c r="H7" s="181" t="s">
        <v>412</v>
      </c>
      <c r="I7" s="181" t="s">
        <v>242</v>
      </c>
      <c r="J7" s="181" t="s">
        <v>307</v>
      </c>
      <c r="K7" s="181" t="s">
        <v>235</v>
      </c>
      <c r="L7" s="153" t="s">
        <v>242</v>
      </c>
      <c r="N7" s="99"/>
      <c r="O7" s="99"/>
      <c r="P7" s="99"/>
      <c r="Q7" s="99"/>
      <c r="R7" s="99"/>
      <c r="S7" s="99"/>
      <c r="T7" s="99"/>
      <c r="U7" s="99"/>
    </row>
    <row r="8" spans="1:21" x14ac:dyDescent="0.2">
      <c r="A8" s="97"/>
      <c r="B8" s="97"/>
      <c r="C8" s="97"/>
      <c r="D8" s="97"/>
      <c r="E8" s="97"/>
      <c r="F8" s="389" t="s">
        <v>413</v>
      </c>
      <c r="G8" s="181" t="s">
        <v>413</v>
      </c>
      <c r="H8" s="181" t="s">
        <v>414</v>
      </c>
      <c r="I8" s="181" t="s">
        <v>247</v>
      </c>
      <c r="J8" s="181"/>
      <c r="K8" s="181"/>
      <c r="L8" s="153" t="s">
        <v>246</v>
      </c>
      <c r="N8" s="99"/>
      <c r="O8" s="99"/>
      <c r="P8" s="99"/>
      <c r="Q8" s="99"/>
      <c r="R8" s="99"/>
      <c r="S8" s="99"/>
      <c r="T8" s="99"/>
      <c r="U8" s="99"/>
    </row>
    <row r="9" spans="1:21" ht="18.75" customHeight="1" x14ac:dyDescent="0.25">
      <c r="A9" s="81"/>
      <c r="B9" s="97"/>
      <c r="C9" s="97"/>
      <c r="D9" s="43"/>
      <c r="E9" s="97"/>
      <c r="F9" s="389"/>
      <c r="G9" s="181"/>
      <c r="H9" s="181"/>
      <c r="I9" s="181"/>
      <c r="J9" s="181"/>
      <c r="K9" s="181"/>
      <c r="L9" s="153"/>
    </row>
    <row r="10" spans="1:21" ht="15.75" x14ac:dyDescent="0.25">
      <c r="A10" s="39" t="s">
        <v>415</v>
      </c>
      <c r="B10" s="39"/>
      <c r="C10" s="152"/>
      <c r="D10" s="152"/>
      <c r="E10" s="152"/>
      <c r="F10" s="186"/>
      <c r="G10" s="182"/>
      <c r="H10" s="183"/>
      <c r="I10" s="184"/>
      <c r="J10" s="184"/>
      <c r="K10" s="152"/>
      <c r="L10" s="182"/>
    </row>
    <row r="11" spans="1:21" ht="15.75" x14ac:dyDescent="0.25">
      <c r="A11" s="39"/>
      <c r="B11" s="97" t="str">
        <f>'5...Dozer'!D12</f>
        <v>2 D8 / 1 D10</v>
      </c>
      <c r="C11" s="164" t="str">
        <f>'5...Dozer'!A12</f>
        <v>Pushdown existing outslopes</v>
      </c>
      <c r="D11" s="164" t="str">
        <f>'5...Dozer'!B12</f>
        <v>Sugar Shack West RP</v>
      </c>
      <c r="E11" s="185"/>
      <c r="F11" s="186">
        <f>2*$D$177+$D$175</f>
        <v>538.19000000000005</v>
      </c>
      <c r="G11" s="186">
        <f>(2*$I$189+$I$189)</f>
        <v>78.87</v>
      </c>
      <c r="H11" s="157">
        <f>'5...Dozer'!G12</f>
        <v>942.59335419739955</v>
      </c>
      <c r="I11" s="164">
        <f>(F11+G11)*H11</f>
        <v>581636.65514104743</v>
      </c>
      <c r="J11" s="164">
        <f>'5...Dozer'!E12</f>
        <v>493650</v>
      </c>
      <c r="K11" s="152" t="s">
        <v>416</v>
      </c>
      <c r="L11" s="187">
        <f t="shared" ref="L11:L18" si="0">IF(J11=0,"---",I11/J11)</f>
        <v>1.1782369191553681</v>
      </c>
    </row>
    <row r="12" spans="1:21" ht="15.75" x14ac:dyDescent="0.25">
      <c r="A12" s="39"/>
      <c r="B12" s="97" t="str">
        <f>'5...Dozer'!D13</f>
        <v>2 D10</v>
      </c>
      <c r="C12" s="164" t="str">
        <f>'5...Dozer'!A13</f>
        <v>Rehandle landbridge</v>
      </c>
      <c r="D12" s="164" t="str">
        <f>'5...Dozer'!B13</f>
        <v>Pit Rep - Landbridge</v>
      </c>
      <c r="E12" s="185"/>
      <c r="F12" s="186">
        <f>2*$D$175</f>
        <v>566.62</v>
      </c>
      <c r="G12" s="186">
        <f>(2*$I$189)</f>
        <v>52.58</v>
      </c>
      <c r="H12" s="157">
        <f>'5...Dozer'!G13</f>
        <v>611.01969683615494</v>
      </c>
      <c r="I12" s="164">
        <f t="shared" ref="I12:I18" si="1">(F12+G12)*H12</f>
        <v>378343.39628094714</v>
      </c>
      <c r="J12" s="188">
        <f>'5...Dozer'!E13</f>
        <v>320000</v>
      </c>
      <c r="K12" s="152" t="s">
        <v>416</v>
      </c>
      <c r="L12" s="187">
        <f t="shared" si="0"/>
        <v>1.1823231133779599</v>
      </c>
    </row>
    <row r="13" spans="1:21" ht="15.75" x14ac:dyDescent="0.25">
      <c r="A13" s="39"/>
      <c r="B13" s="97" t="str">
        <f>'5...Dozer'!D14</f>
        <v>2 D8 / 1 D10</v>
      </c>
      <c r="C13" s="164" t="str">
        <f>'5...Dozer'!A14</f>
        <v>Pushdown existing outslopes</v>
      </c>
      <c r="D13" s="164" t="str">
        <f>'5...Dozer'!B14</f>
        <v>Blind Gulch RP</v>
      </c>
      <c r="E13" s="185"/>
      <c r="F13" s="186">
        <f>2*$D$177+$D$175</f>
        <v>538.19000000000005</v>
      </c>
      <c r="G13" s="186">
        <f>(2*$I$189+$I$189)</f>
        <v>78.87</v>
      </c>
      <c r="H13" s="157">
        <f>'5...Dozer'!G14</f>
        <v>1794.8703594562051</v>
      </c>
      <c r="I13" s="164">
        <f t="shared" si="1"/>
        <v>1107542.7040060461</v>
      </c>
      <c r="J13" s="188">
        <f>'5...Dozer'!E14</f>
        <v>940000</v>
      </c>
      <c r="K13" s="152" t="s">
        <v>416</v>
      </c>
      <c r="L13" s="187">
        <f t="shared" si="0"/>
        <v>1.1782369191553681</v>
      </c>
    </row>
    <row r="14" spans="1:21" ht="15.75" x14ac:dyDescent="0.25">
      <c r="A14" s="39"/>
      <c r="B14" s="97" t="str">
        <f>'5...Dozer'!D15</f>
        <v>2 D8 / 1 D10</v>
      </c>
      <c r="C14" s="164" t="str">
        <f>'5...Dozer'!A15</f>
        <v>Pushdown existing outslopes</v>
      </c>
      <c r="D14" s="164" t="str">
        <f>'5...Dozer'!B15</f>
        <v>Front RP</v>
      </c>
      <c r="E14" s="185"/>
      <c r="F14" s="186">
        <f>2*$D$177+$D$175</f>
        <v>538.19000000000005</v>
      </c>
      <c r="G14" s="186">
        <f>(2*$I$189+$I$189)</f>
        <v>78.87</v>
      </c>
      <c r="H14" s="157">
        <f>'5...Dozer'!G15</f>
        <v>3711.9446582796409</v>
      </c>
      <c r="I14" s="164">
        <f t="shared" si="1"/>
        <v>2290492.5708380355</v>
      </c>
      <c r="J14" s="164">
        <f>'5...Dozer'!E15</f>
        <v>1944000</v>
      </c>
      <c r="K14" s="152" t="s">
        <v>416</v>
      </c>
      <c r="L14" s="187">
        <f t="shared" si="0"/>
        <v>1.1782369191553681</v>
      </c>
    </row>
    <row r="15" spans="1:21" ht="15.75" x14ac:dyDescent="0.25">
      <c r="A15" s="39"/>
      <c r="B15" s="97" t="str">
        <f>'5...Dozer'!D16</f>
        <v>2 D8 / 1 D10</v>
      </c>
      <c r="C15" s="164" t="str">
        <f>'5...Dozer'!A16</f>
        <v>Pushdown existing outslopes</v>
      </c>
      <c r="D15" s="164" t="str">
        <f>'5...Dozer'!B16</f>
        <v>Spring Gulch RP</v>
      </c>
      <c r="E15" s="185"/>
      <c r="F15" s="186">
        <f>2*$D$177+$D$175</f>
        <v>538.19000000000005</v>
      </c>
      <c r="G15" s="186">
        <f>(2*$I$189+$I$189)</f>
        <v>78.87</v>
      </c>
      <c r="H15" s="157">
        <f>'5...Dozer'!G16</f>
        <v>3436.9857947033715</v>
      </c>
      <c r="I15" s="164">
        <f t="shared" si="1"/>
        <v>2120826.4544796627</v>
      </c>
      <c r="J15" s="164">
        <f>'5...Dozer'!E16</f>
        <v>1800000</v>
      </c>
      <c r="K15" s="152" t="s">
        <v>416</v>
      </c>
      <c r="L15" s="187">
        <f t="shared" si="0"/>
        <v>1.1782369191553681</v>
      </c>
    </row>
    <row r="16" spans="1:21" ht="15.75" x14ac:dyDescent="0.25">
      <c r="A16" s="39"/>
      <c r="B16" s="97" t="str">
        <f>'5...Dozer'!D17</f>
        <v>1 D9</v>
      </c>
      <c r="C16" s="164" t="str">
        <f>'5...Dozer'!A17</f>
        <v>Pushdown screening material</v>
      </c>
      <c r="D16" s="164" t="str">
        <f>'5...Dozer'!B17</f>
        <v>Spring Gulch RP</v>
      </c>
      <c r="E16" s="185"/>
      <c r="F16" s="186">
        <f>$D$178</f>
        <v>214.64</v>
      </c>
      <c r="G16" s="186">
        <f>$I$189</f>
        <v>26.29</v>
      </c>
      <c r="H16" s="157">
        <f>'5...Dozer'!G17</f>
        <v>13108.398695222782</v>
      </c>
      <c r="I16" s="164">
        <f t="shared" si="1"/>
        <v>3158206.4976400249</v>
      </c>
      <c r="J16" s="164">
        <f>'5...Dozer'!E17</f>
        <v>5239863</v>
      </c>
      <c r="K16" s="152" t="s">
        <v>416</v>
      </c>
      <c r="L16" s="187">
        <f t="shared" si="0"/>
        <v>0.60272692199014077</v>
      </c>
    </row>
    <row r="17" spans="1:12" ht="15.75" x14ac:dyDescent="0.25">
      <c r="A17" s="39"/>
      <c r="B17" s="97" t="str">
        <f>'5...Dozer'!D18</f>
        <v>2 D10</v>
      </c>
      <c r="C17" s="164" t="str">
        <f>'5...Dozer'!A18</f>
        <v>Remove 793 Access Ramp</v>
      </c>
      <c r="D17" s="164" t="str">
        <f>'5...Dozer'!B18</f>
        <v>Front RP</v>
      </c>
      <c r="E17" s="185"/>
      <c r="F17" s="186">
        <f>2*$D$175</f>
        <v>566.62</v>
      </c>
      <c r="G17" s="186">
        <f>(2*$I$189)</f>
        <v>52.58</v>
      </c>
      <c r="H17" s="157">
        <f>'5...Dozer'!G18</f>
        <v>1527.5492420903872</v>
      </c>
      <c r="I17" s="164">
        <f t="shared" si="1"/>
        <v>945858.49070236785</v>
      </c>
      <c r="J17" s="164">
        <f>'5...Dozer'!E18</f>
        <v>800000</v>
      </c>
      <c r="K17" s="152" t="s">
        <v>416</v>
      </c>
      <c r="L17" s="187">
        <f t="shared" si="0"/>
        <v>1.1823231133779599</v>
      </c>
    </row>
    <row r="18" spans="1:12" ht="15.75" x14ac:dyDescent="0.25">
      <c r="A18" s="39"/>
      <c r="B18" s="97" t="str">
        <f>'5...Dozer'!D19</f>
        <v>2 D10</v>
      </c>
      <c r="C18" s="164" t="str">
        <f>'5...Dozer'!A19</f>
        <v>Build 793 Access Road</v>
      </c>
      <c r="D18" s="164" t="str">
        <f>'5...Dozer'!B19</f>
        <v>Front RP</v>
      </c>
      <c r="E18" s="185"/>
      <c r="F18" s="186">
        <f>2*$D$175</f>
        <v>566.62</v>
      </c>
      <c r="G18" s="186">
        <f>(2*$I$189)</f>
        <v>52.58</v>
      </c>
      <c r="H18" s="157">
        <f>'5...Dozer'!G19</f>
        <v>1432.0774144597381</v>
      </c>
      <c r="I18" s="164">
        <f t="shared" si="1"/>
        <v>886742.33503346983</v>
      </c>
      <c r="J18" s="164">
        <f>'5...Dozer'!E19</f>
        <v>750000</v>
      </c>
      <c r="K18" s="152" t="s">
        <v>416</v>
      </c>
      <c r="L18" s="187">
        <f t="shared" si="0"/>
        <v>1.1823231133779597</v>
      </c>
    </row>
    <row r="19" spans="1:12" ht="15.75" x14ac:dyDescent="0.25">
      <c r="A19" s="39"/>
      <c r="B19" s="97" t="str">
        <f>'5...Dozer'!D20</f>
        <v>2 D8 / 1 D10</v>
      </c>
      <c r="C19" s="164" t="str">
        <f>'5...Dozer'!A20</f>
        <v>GHS Access Rehandle to Place</v>
      </c>
      <c r="D19" s="164" t="str">
        <f>'5...Dozer'!B20</f>
        <v>GHS</v>
      </c>
      <c r="E19" s="185"/>
      <c r="F19" s="186">
        <f>2*$D$177+$D$175</f>
        <v>538.19000000000005</v>
      </c>
      <c r="G19" s="186">
        <f>(2*$I$189+$I$189)</f>
        <v>78.87</v>
      </c>
      <c r="H19" s="157">
        <f>'5...Dozer'!G20</f>
        <v>96.850440821635772</v>
      </c>
      <c r="I19" s="164">
        <f>(F19+G19)*H19</f>
        <v>59762.533013398577</v>
      </c>
      <c r="J19" s="164">
        <f>'5...Dozer'!E20</f>
        <v>50722</v>
      </c>
      <c r="K19" s="152" t="s">
        <v>416</v>
      </c>
      <c r="L19" s="187">
        <f>IF(J19=0,"---",I19/J19)</f>
        <v>1.1782369191553681</v>
      </c>
    </row>
    <row r="20" spans="1:12" ht="15.75" x14ac:dyDescent="0.25">
      <c r="A20" s="39"/>
      <c r="B20" s="97" t="str">
        <f>'5...Dozer'!D21</f>
        <v>1 D6 / 1 CAT 345</v>
      </c>
      <c r="C20" s="164" t="str">
        <f>'5...Dozer'!A21</f>
        <v>GHS Access Rehandle Prime</v>
      </c>
      <c r="D20" s="164" t="str">
        <f>'5...Dozer'!B21</f>
        <v>GHS</v>
      </c>
      <c r="E20" s="185"/>
      <c r="F20" s="186">
        <f>$D$176+$D$168</f>
        <v>252.15</v>
      </c>
      <c r="G20" s="186">
        <f>$I$189+$I$190</f>
        <v>54.660000000000004</v>
      </c>
      <c r="H20" s="157">
        <f>'5...Dozer'!G21</f>
        <v>525.28599562383181</v>
      </c>
      <c r="I20" s="164">
        <f>(F20+G20)*H20</f>
        <v>161162.99631734783</v>
      </c>
      <c r="J20" s="164">
        <f>'5...Dozer'!E21</f>
        <v>78600</v>
      </c>
      <c r="K20" s="152" t="s">
        <v>416</v>
      </c>
      <c r="L20" s="187">
        <f>IF(J20=0,"---",I20/J20)</f>
        <v>2.0504198004751633</v>
      </c>
    </row>
    <row r="21" spans="1:12" ht="15.75" x14ac:dyDescent="0.25">
      <c r="A21" s="39"/>
      <c r="B21" s="97"/>
      <c r="C21" s="164"/>
      <c r="D21" s="164"/>
      <c r="E21" s="185"/>
      <c r="F21" s="186"/>
      <c r="G21" s="186"/>
      <c r="H21" s="189" t="s">
        <v>302</v>
      </c>
      <c r="I21" s="190">
        <f>SUM(I11:I20)</f>
        <v>11690574.633452348</v>
      </c>
      <c r="J21" s="164"/>
      <c r="K21" s="152"/>
      <c r="L21" s="187"/>
    </row>
    <row r="22" spans="1:12" ht="15.75" x14ac:dyDescent="0.25">
      <c r="A22" s="39" t="s">
        <v>417</v>
      </c>
      <c r="B22" s="40"/>
      <c r="C22" s="97"/>
      <c r="D22" s="97"/>
      <c r="E22" s="97"/>
      <c r="F22" s="186"/>
      <c r="G22" s="186"/>
      <c r="H22" s="157"/>
      <c r="I22" s="164"/>
      <c r="J22" s="164"/>
      <c r="K22" s="152"/>
      <c r="L22" s="182"/>
    </row>
    <row r="23" spans="1:12" x14ac:dyDescent="0.2">
      <c r="A23" s="152"/>
      <c r="B23" s="97" t="str">
        <f>'3...Material'!G132</f>
        <v>1 D10 / 1 D6</v>
      </c>
      <c r="C23" s="164" t="str">
        <f>'6...Grading'!A12</f>
        <v>Grade rock pile surface</v>
      </c>
      <c r="D23" s="164" t="str">
        <f>'6...Grading'!B12</f>
        <v>Front RP</v>
      </c>
      <c r="E23" s="34"/>
      <c r="F23" s="186">
        <f>$D$175+$D$176</f>
        <v>365.53</v>
      </c>
      <c r="G23" s="186">
        <f>$I$189+$I$189</f>
        <v>52.58</v>
      </c>
      <c r="H23" s="157">
        <f>'6...Grading'!I12</f>
        <v>20221.171771740574</v>
      </c>
      <c r="I23" s="164">
        <f t="shared" ref="I23:I42" si="2">(F23+G23)*H23</f>
        <v>8454674.12948245</v>
      </c>
      <c r="J23" s="163">
        <f>'6...Grading'!G12</f>
        <v>36400000</v>
      </c>
      <c r="K23" s="152" t="s">
        <v>416</v>
      </c>
      <c r="L23" s="187">
        <f t="shared" ref="L23:L42" si="3">IF(J23=0,"---",I23/J23)</f>
        <v>0.23227126729347389</v>
      </c>
    </row>
    <row r="24" spans="1:12" x14ac:dyDescent="0.2">
      <c r="A24" s="152"/>
      <c r="B24" s="97" t="str">
        <f>'3...Material'!G133</f>
        <v>1 D8 / 1 D6</v>
      </c>
      <c r="C24" s="164" t="str">
        <f>'6...Grading'!A13</f>
        <v>Grade rock pile surface</v>
      </c>
      <c r="D24" s="164" t="str">
        <f>'6...Grading'!B13</f>
        <v>Blind Gulch/Spring Gulch</v>
      </c>
      <c r="E24" s="34"/>
      <c r="F24" s="186">
        <f>$D$177+$D$176</f>
        <v>209.66</v>
      </c>
      <c r="G24" s="186">
        <f>2*$I$189</f>
        <v>52.58</v>
      </c>
      <c r="H24" s="157">
        <f>'6...Grading'!I13</f>
        <v>10970.166051979983</v>
      </c>
      <c r="I24" s="164">
        <f t="shared" si="2"/>
        <v>2876816.3454712308</v>
      </c>
      <c r="J24" s="163">
        <f>'6...Grading'!G13</f>
        <v>7919500</v>
      </c>
      <c r="K24" s="152" t="s">
        <v>416</v>
      </c>
      <c r="L24" s="187">
        <f t="shared" si="3"/>
        <v>0.36325731996606236</v>
      </c>
    </row>
    <row r="25" spans="1:12" x14ac:dyDescent="0.2">
      <c r="A25" s="152"/>
      <c r="B25" s="97" t="str">
        <f>'3...Material'!G134</f>
        <v>1.5 D6 / .5 834</v>
      </c>
      <c r="C25" s="164" t="str">
        <f>'6...Grading'!A14</f>
        <v>Grade rock pile surface</v>
      </c>
      <c r="D25" s="164" t="str">
        <f>'6...Grading'!B14</f>
        <v>Non Goat Hill South</v>
      </c>
      <c r="E25" s="34"/>
      <c r="F25" s="186">
        <f>1.5*$D$176+0.5*$D$172</f>
        <v>236.16</v>
      </c>
      <c r="G25" s="186">
        <f>2*$I$189</f>
        <v>52.58</v>
      </c>
      <c r="H25" s="157">
        <f>'6...Grading'!I14</f>
        <v>10416.523326349568</v>
      </c>
      <c r="I25" s="164">
        <f t="shared" si="2"/>
        <v>3007666.9452501745</v>
      </c>
      <c r="J25" s="163">
        <f>'6...Grading'!G14</f>
        <v>4687679</v>
      </c>
      <c r="K25" s="152" t="s">
        <v>416</v>
      </c>
      <c r="L25" s="187">
        <f t="shared" si="3"/>
        <v>0.64161111399696402</v>
      </c>
    </row>
    <row r="26" spans="1:12" x14ac:dyDescent="0.2">
      <c r="A26" s="152"/>
      <c r="B26" s="97" t="str">
        <f>'3...Material'!G135</f>
        <v>1.5 D6 / .5 834</v>
      </c>
      <c r="C26" s="164" t="str">
        <f>'6...Grading'!A15</f>
        <v>Grade rock pile surface</v>
      </c>
      <c r="D26" s="164" t="str">
        <f>'6...Grading'!B15</f>
        <v>Goat Hill South</v>
      </c>
      <c r="E26" s="34"/>
      <c r="F26" s="186">
        <f>1.5*$D$176+0.5*$D$172</f>
        <v>236.16</v>
      </c>
      <c r="G26" s="186">
        <f>2*$I$189</f>
        <v>52.58</v>
      </c>
      <c r="H26" s="157">
        <f>'6...Grading'!I15</f>
        <v>1656.1273007462819</v>
      </c>
      <c r="I26" s="164">
        <f t="shared" si="2"/>
        <v>478190.19681748142</v>
      </c>
      <c r="J26" s="163">
        <f>'6...Grading'!G15</f>
        <v>295013</v>
      </c>
      <c r="K26" s="152" t="s">
        <v>416</v>
      </c>
      <c r="L26" s="187">
        <f t="shared" si="3"/>
        <v>1.6209122879923306</v>
      </c>
    </row>
    <row r="27" spans="1:12" x14ac:dyDescent="0.2">
      <c r="A27" s="152"/>
      <c r="B27" s="97" t="str">
        <f>'3...Material'!G136</f>
        <v>1 D8</v>
      </c>
      <c r="C27" s="164" t="str">
        <f>'6...Grading'!A16</f>
        <v>Grade rock pile surface</v>
      </c>
      <c r="D27" s="164" t="str">
        <f>'6...Grading'!B16</f>
        <v>Remove Access Ramp</v>
      </c>
      <c r="E27" s="34"/>
      <c r="F27" s="186">
        <f>$D$177</f>
        <v>127.44</v>
      </c>
      <c r="G27" s="186">
        <f>$I$189</f>
        <v>26.29</v>
      </c>
      <c r="H27" s="157">
        <f>'6...Grading'!I16</f>
        <v>1108.167541080117</v>
      </c>
      <c r="I27" s="164">
        <f t="shared" si="2"/>
        <v>170358.59609024637</v>
      </c>
      <c r="J27" s="163">
        <f>'6...Grading'!G16</f>
        <v>800000</v>
      </c>
      <c r="K27" s="152" t="s">
        <v>416</v>
      </c>
      <c r="L27" s="187">
        <f t="shared" si="3"/>
        <v>0.21294824511280797</v>
      </c>
    </row>
    <row r="28" spans="1:12" x14ac:dyDescent="0.2">
      <c r="A28" s="152"/>
      <c r="B28" s="97" t="str">
        <f>'3...Material'!G137</f>
        <v>.5 D6 / .5 834</v>
      </c>
      <c r="C28" s="164" t="str">
        <f>'6...Grading'!A17</f>
        <v>Grade rock pile surface</v>
      </c>
      <c r="D28" s="164" t="str">
        <f>'6...Grading'!B17</f>
        <v>Build Haul Road</v>
      </c>
      <c r="E28" s="34"/>
      <c r="F28" s="186">
        <f>0.5*$D$176+0.5*$D$172</f>
        <v>153.94</v>
      </c>
      <c r="G28" s="186">
        <f>1*$I$189</f>
        <v>26.29</v>
      </c>
      <c r="H28" s="157">
        <f>'6...Grading'!I17</f>
        <v>666.63203643100792</v>
      </c>
      <c r="I28" s="164">
        <f t="shared" si="2"/>
        <v>120147.09192596054</v>
      </c>
      <c r="J28" s="163">
        <f>'6...Grading'!G17</f>
        <v>300000</v>
      </c>
      <c r="K28" s="152" t="s">
        <v>416</v>
      </c>
      <c r="L28" s="187">
        <f t="shared" si="3"/>
        <v>0.40049030641986849</v>
      </c>
    </row>
    <row r="29" spans="1:12" x14ac:dyDescent="0.2">
      <c r="A29" s="152"/>
      <c r="B29" s="97" t="str">
        <f>'3...Material'!G138</f>
        <v>1 D8</v>
      </c>
      <c r="C29" s="164" t="str">
        <f>'6...Grading'!A18</f>
        <v>Grade rock pile surface</v>
      </c>
      <c r="D29" s="164" t="str">
        <f>'6...Grading'!B18</f>
        <v>Build Haul Road</v>
      </c>
      <c r="E29" s="34"/>
      <c r="F29" s="186">
        <f>$D$177</f>
        <v>127.44</v>
      </c>
      <c r="G29" s="186">
        <f>$I$189</f>
        <v>26.29</v>
      </c>
      <c r="H29" s="157">
        <f>'6...Grading'!I18</f>
        <v>2008.553668207712</v>
      </c>
      <c r="I29" s="164">
        <f t="shared" si="2"/>
        <v>308774.95541357156</v>
      </c>
      <c r="J29" s="163">
        <f>'6...Grading'!G18</f>
        <v>1450000</v>
      </c>
      <c r="K29" s="152" t="s">
        <v>416</v>
      </c>
      <c r="L29" s="187">
        <f t="shared" si="3"/>
        <v>0.21294824511280797</v>
      </c>
    </row>
    <row r="30" spans="1:12" x14ac:dyDescent="0.2">
      <c r="A30" s="152"/>
      <c r="B30" s="97" t="str">
        <f>'3...Material'!G139</f>
        <v>1 D6</v>
      </c>
      <c r="C30" s="164" t="str">
        <f>'6...Grading'!A19</f>
        <v>Grade rock pile surface</v>
      </c>
      <c r="D30" s="164" t="str">
        <f>'6...Grading'!B19</f>
        <v>Goat Hill South Access</v>
      </c>
      <c r="E30" s="34"/>
      <c r="F30" s="186">
        <f>$D$176</f>
        <v>82.22</v>
      </c>
      <c r="G30" s="186">
        <f>$I$189</f>
        <v>26.29</v>
      </c>
      <c r="H30" s="157">
        <f>'6...Grading'!I19</f>
        <v>312.51148493539188</v>
      </c>
      <c r="I30" s="164">
        <f t="shared" si="2"/>
        <v>33910.62123033937</v>
      </c>
      <c r="J30" s="163">
        <f>'6...Grading'!G19</f>
        <v>55669</v>
      </c>
      <c r="K30" s="152" t="s">
        <v>416</v>
      </c>
      <c r="L30" s="187">
        <f t="shared" si="3"/>
        <v>0.60914730335266254</v>
      </c>
    </row>
    <row r="31" spans="1:12" x14ac:dyDescent="0.2">
      <c r="B31" s="97" t="str">
        <f>'3...Material'!G140</f>
        <v>1 D6</v>
      </c>
      <c r="C31" s="164" t="str">
        <f>'6...Grading'!A20</f>
        <v>Grade rock pile surface</v>
      </c>
      <c r="D31" s="164" t="str">
        <f>'6...Grading'!B20</f>
        <v>Goat Hill South Access</v>
      </c>
      <c r="E31" s="34"/>
      <c r="F31" s="186">
        <f>$D$176</f>
        <v>82.22</v>
      </c>
      <c r="G31" s="186">
        <f>$I$189</f>
        <v>26.29</v>
      </c>
      <c r="H31" s="157">
        <f>'6...Grading'!I20</f>
        <v>191.66670995446125</v>
      </c>
      <c r="I31" s="164">
        <f t="shared" si="2"/>
        <v>20797.754697158591</v>
      </c>
      <c r="J31" s="163">
        <f>'6...Grading'!G20</f>
        <v>57503</v>
      </c>
      <c r="K31" s="152" t="s">
        <v>416</v>
      </c>
      <c r="L31" s="187">
        <f t="shared" si="3"/>
        <v>0.36168121136564335</v>
      </c>
    </row>
    <row r="32" spans="1:12" x14ac:dyDescent="0.2">
      <c r="B32" s="97" t="str">
        <f>'3...Material'!G141</f>
        <v>1 834</v>
      </c>
      <c r="C32" s="164" t="str">
        <f>'6...Grading'!A21</f>
        <v>Grade rock pile surface</v>
      </c>
      <c r="D32" s="164" t="str">
        <f>'6...Grading'!B21</f>
        <v>Cover Reject Handling</v>
      </c>
      <c r="E32" s="34"/>
      <c r="F32" s="186">
        <f>$D$172</f>
        <v>225.66</v>
      </c>
      <c r="G32" s="186">
        <f>$I$189</f>
        <v>26.29</v>
      </c>
      <c r="H32" s="157">
        <f>'6...Grading'!I21</f>
        <v>1058.5027906198234</v>
      </c>
      <c r="I32" s="164">
        <f t="shared" ref="I32" si="4">(F32+G32)*H32</f>
        <v>266689.77809666446</v>
      </c>
      <c r="J32" s="163">
        <f>'6...Grading'!G21</f>
        <v>476351</v>
      </c>
      <c r="K32" s="152" t="s">
        <v>416</v>
      </c>
      <c r="L32" s="187">
        <f t="shared" ref="L32" si="5">IF(J32=0,"---",I32/J32)</f>
        <v>0.55985980526264134</v>
      </c>
    </row>
    <row r="33" spans="1:13" x14ac:dyDescent="0.2">
      <c r="B33" s="97"/>
      <c r="C33" s="164"/>
      <c r="D33" s="164"/>
      <c r="E33" s="34"/>
      <c r="F33" s="186"/>
      <c r="G33" s="186"/>
      <c r="H33" s="157"/>
      <c r="I33" s="164"/>
      <c r="J33" s="163"/>
      <c r="K33" s="152"/>
      <c r="L33" s="187"/>
    </row>
    <row r="34" spans="1:13" x14ac:dyDescent="0.2">
      <c r="A34" s="152"/>
      <c r="B34" s="97" t="str">
        <f>'3...Material'!G144</f>
        <v>2 D8 / 1 CAT 385</v>
      </c>
      <c r="C34" s="164" t="str">
        <f>'6...Grading'!A28</f>
        <v>Grade cover material</v>
      </c>
      <c r="D34" s="164" t="str">
        <f>'6...Grading'!B28</f>
        <v>Spring Gulch RP</v>
      </c>
      <c r="E34" s="301"/>
      <c r="F34" s="186">
        <f>2*$D$177+$D$170</f>
        <v>552.95000000000005</v>
      </c>
      <c r="G34" s="186">
        <f>2*$I$189+$I$190</f>
        <v>80.95</v>
      </c>
      <c r="H34" s="157">
        <f>'6...Grading'!I28</f>
        <v>1688.6867515373822</v>
      </c>
      <c r="I34" s="164">
        <f>(F34+G34)*H34</f>
        <v>1070458.5317995467</v>
      </c>
      <c r="J34" s="163">
        <f>'6...Grading'!G28</f>
        <v>102.34996821360457</v>
      </c>
      <c r="K34" s="152" t="s">
        <v>418</v>
      </c>
      <c r="L34" s="187">
        <f t="shared" si="3"/>
        <v>10458.806685366993</v>
      </c>
      <c r="M34" s="302"/>
    </row>
    <row r="35" spans="1:13" x14ac:dyDescent="0.2">
      <c r="A35" s="152"/>
      <c r="B35" s="97" t="str">
        <f>'3...Material'!G145</f>
        <v>2 D8 / 1 CAT 385</v>
      </c>
      <c r="C35" s="164" t="str">
        <f>'6...Grading'!A29</f>
        <v>Grade cover material</v>
      </c>
      <c r="D35" s="164" t="str">
        <f>'6...Grading'!B29</f>
        <v>Spring Gulch RP</v>
      </c>
      <c r="E35" s="301"/>
      <c r="F35" s="186">
        <f>2*$D$177+$D$170</f>
        <v>552.95000000000005</v>
      </c>
      <c r="G35" s="186">
        <f>2*$I$189+$I$190</f>
        <v>80.95</v>
      </c>
      <c r="H35" s="157">
        <f>'6...Grading'!I29</f>
        <v>2449.296714855971</v>
      </c>
      <c r="I35" s="164">
        <f t="shared" si="2"/>
        <v>1552609.1875472001</v>
      </c>
      <c r="J35" s="163">
        <f>'6...Grading'!G29</f>
        <v>148.44993642720917</v>
      </c>
      <c r="K35" s="152" t="s">
        <v>418</v>
      </c>
      <c r="L35" s="187">
        <f t="shared" si="3"/>
        <v>10458.806685366992</v>
      </c>
      <c r="M35" s="302"/>
    </row>
    <row r="36" spans="1:13" x14ac:dyDescent="0.2">
      <c r="A36" s="152"/>
      <c r="B36" s="97" t="str">
        <f>'3...Material'!G146</f>
        <v>.5 D9 / .5 CAT 854</v>
      </c>
      <c r="C36" s="164" t="str">
        <f>'6...Grading'!A30</f>
        <v>Grade cover material</v>
      </c>
      <c r="D36" s="164" t="str">
        <f>'6...Grading'!B30</f>
        <v>Spring Gulch RP</v>
      </c>
      <c r="E36" s="301"/>
      <c r="F36" s="186">
        <f>0.5*$D$177+0.5*$D$173</f>
        <v>231.88</v>
      </c>
      <c r="G36" s="186">
        <f>$I$189</f>
        <v>26.29</v>
      </c>
      <c r="H36" s="157">
        <f>'6...Grading'!I30</f>
        <v>733.35875658806924</v>
      </c>
      <c r="I36" s="164">
        <f t="shared" si="2"/>
        <v>189331.23018834184</v>
      </c>
      <c r="J36" s="163">
        <f>'6...Grading'!G30</f>
        <v>66.672441195168474</v>
      </c>
      <c r="K36" s="97" t="s">
        <v>418</v>
      </c>
      <c r="L36" s="191">
        <f t="shared" si="3"/>
        <v>2839.7224819489888</v>
      </c>
      <c r="M36" s="302"/>
    </row>
    <row r="37" spans="1:13" x14ac:dyDescent="0.2">
      <c r="A37" s="152"/>
      <c r="B37" s="97" t="str">
        <f>'3...Material'!G147</f>
        <v>2 D8 / 1 CAT 385</v>
      </c>
      <c r="C37" s="164" t="str">
        <f>'6...Grading'!A31</f>
        <v>Grade cover material</v>
      </c>
      <c r="D37" s="164" t="str">
        <f>'6...Grading'!B31</f>
        <v>Front RP</v>
      </c>
      <c r="E37" s="301"/>
      <c r="F37" s="186">
        <f>2*$D$177+$D$170</f>
        <v>552.95000000000005</v>
      </c>
      <c r="G37" s="186">
        <f>2*$I$189+$I$190</f>
        <v>80.95</v>
      </c>
      <c r="H37" s="157">
        <f>'6...Grading'!I31</f>
        <v>1100.0381348821038</v>
      </c>
      <c r="I37" s="164">
        <f t="shared" si="2"/>
        <v>697314.17370176571</v>
      </c>
      <c r="J37" s="163">
        <f>'6...Grading'!G31</f>
        <v>66.672441195168474</v>
      </c>
      <c r="K37" s="97" t="s">
        <v>418</v>
      </c>
      <c r="L37" s="191">
        <f t="shared" si="3"/>
        <v>10458.806685366992</v>
      </c>
      <c r="M37" s="302"/>
    </row>
    <row r="38" spans="1:13" x14ac:dyDescent="0.2">
      <c r="A38" s="152"/>
      <c r="B38" s="97" t="str">
        <f>'3...Material'!G148</f>
        <v>.5 D9 / .5 CAT 854</v>
      </c>
      <c r="C38" s="164" t="str">
        <f>'6...Grading'!A32</f>
        <v>Grade cover material</v>
      </c>
      <c r="D38" s="164" t="str">
        <f>'6...Grading'!B32</f>
        <v>Spring Gulch RP</v>
      </c>
      <c r="E38" s="301"/>
      <c r="F38" s="186">
        <f>0.5*$D$177+0.5*$D$173</f>
        <v>231.88</v>
      </c>
      <c r="G38" s="186">
        <f>$I$189</f>
        <v>26.29</v>
      </c>
      <c r="H38" s="157">
        <f>'6...Grading'!I32</f>
        <v>23.09845043014748</v>
      </c>
      <c r="I38" s="164">
        <f t="shared" si="2"/>
        <v>5963.3269475511752</v>
      </c>
      <c r="J38" s="163">
        <f>'6...Grading'!G32</f>
        <v>2.0999682136045772</v>
      </c>
      <c r="K38" s="97" t="s">
        <v>418</v>
      </c>
      <c r="L38" s="191">
        <f t="shared" si="3"/>
        <v>2839.7224819489893</v>
      </c>
      <c r="M38" s="302"/>
    </row>
    <row r="39" spans="1:13" x14ac:dyDescent="0.2">
      <c r="A39" s="152"/>
      <c r="B39" s="97" t="str">
        <f>'3...Material'!G149</f>
        <v>2 D8 / 1 CAT 385</v>
      </c>
      <c r="C39" s="164" t="str">
        <f>'6...Grading'!A33</f>
        <v>Grade cover material</v>
      </c>
      <c r="D39" s="164" t="str">
        <f>'6...Grading'!B33</f>
        <v>Front RP</v>
      </c>
      <c r="E39" s="301"/>
      <c r="F39" s="186">
        <f>2*$D$177+$D$170</f>
        <v>552.95000000000005</v>
      </c>
      <c r="G39" s="186">
        <f>2*$I$189+$I$190</f>
        <v>80.95</v>
      </c>
      <c r="H39" s="157">
        <f>'6...Grading'!I33</f>
        <v>34.64767564522122</v>
      </c>
      <c r="I39" s="164">
        <f t="shared" si="2"/>
        <v>21963.161591505734</v>
      </c>
      <c r="J39" s="163">
        <f>'6...Grading'!G33</f>
        <v>2.0999682136045772</v>
      </c>
      <c r="K39" s="97" t="s">
        <v>418</v>
      </c>
      <c r="L39" s="191">
        <f t="shared" si="3"/>
        <v>10458.806685366993</v>
      </c>
      <c r="M39" s="302"/>
    </row>
    <row r="40" spans="1:13" x14ac:dyDescent="0.2">
      <c r="A40" s="152"/>
      <c r="B40" s="97" t="str">
        <f>'3...Material'!G150</f>
        <v>2 D8 / 1 CAT 385</v>
      </c>
      <c r="C40" s="164" t="str">
        <f>'6...Grading'!A34</f>
        <v>Grade cover material</v>
      </c>
      <c r="D40" s="164" t="str">
        <f>'6...Grading'!B34</f>
        <v>Front RP</v>
      </c>
      <c r="E40" s="301"/>
      <c r="F40" s="186">
        <f>2*$D$177+$D$170</f>
        <v>552.95000000000005</v>
      </c>
      <c r="G40" s="186">
        <f>2*$I$189+$I$190</f>
        <v>80.95</v>
      </c>
      <c r="H40" s="157">
        <f>'6...Grading'!I34</f>
        <v>2017.6390686997274</v>
      </c>
      <c r="I40" s="164">
        <f t="shared" si="2"/>
        <v>1278981.4056487575</v>
      </c>
      <c r="J40" s="163">
        <f>'6...Grading'!G34</f>
        <v>122.28750794659885</v>
      </c>
      <c r="K40" s="97" t="s">
        <v>418</v>
      </c>
      <c r="L40" s="191">
        <f t="shared" si="3"/>
        <v>10458.806685366993</v>
      </c>
      <c r="M40" s="302"/>
    </row>
    <row r="41" spans="1:13" x14ac:dyDescent="0.2">
      <c r="A41" s="152"/>
      <c r="B41" s="97" t="str">
        <f>'3...Material'!G151</f>
        <v>2 D8 / 1 CAT 385</v>
      </c>
      <c r="C41" s="164" t="str">
        <f>'6...Grading'!A35</f>
        <v>Grade cover material</v>
      </c>
      <c r="D41" s="164" t="str">
        <f>'6...Grading'!B35</f>
        <v>Spring Gulch RP</v>
      </c>
      <c r="E41" s="301"/>
      <c r="F41" s="186">
        <f>2*$D$177+$D$170</f>
        <v>552.95000000000005</v>
      </c>
      <c r="G41" s="186">
        <f>2*$I$189+$I$190</f>
        <v>80.95</v>
      </c>
      <c r="H41" s="157">
        <f>'6...Grading'!I35</f>
        <v>785.35867767108982</v>
      </c>
      <c r="I41" s="164">
        <f t="shared" si="2"/>
        <v>497838.86577570392</v>
      </c>
      <c r="J41" s="163">
        <f>'6...Grading'!G35</f>
        <v>47.599968213604576</v>
      </c>
      <c r="K41" s="97" t="s">
        <v>418</v>
      </c>
      <c r="L41" s="191">
        <f t="shared" si="3"/>
        <v>10458.806685366993</v>
      </c>
      <c r="M41" s="302"/>
    </row>
    <row r="42" spans="1:13" x14ac:dyDescent="0.2">
      <c r="A42" s="152"/>
      <c r="B42" s="97" t="str">
        <f>'3...Material'!G152</f>
        <v>2 D8 / 1 CAT 385</v>
      </c>
      <c r="C42" s="164" t="str">
        <f>'6...Grading'!A36</f>
        <v>Grade cover material</v>
      </c>
      <c r="D42" s="164" t="str">
        <f>'6...Grading'!B36</f>
        <v>Spring Gulch RP</v>
      </c>
      <c r="E42" s="301"/>
      <c r="F42" s="186">
        <f>2*$D$177+$D$170</f>
        <v>552.95000000000005</v>
      </c>
      <c r="G42" s="186">
        <f>2*$I$189+$I$190</f>
        <v>80.95</v>
      </c>
      <c r="H42" s="157">
        <f>'6...Grading'!I36</f>
        <v>5700.6216959758322</v>
      </c>
      <c r="I42" s="164">
        <f t="shared" si="2"/>
        <v>3613624.0930790803</v>
      </c>
      <c r="J42" s="163">
        <f>'6...Grading'!G36</f>
        <v>345.5101716465353</v>
      </c>
      <c r="K42" s="97" t="s">
        <v>418</v>
      </c>
      <c r="L42" s="191">
        <f t="shared" si="3"/>
        <v>10458.806685366992</v>
      </c>
      <c r="M42" s="302"/>
    </row>
    <row r="43" spans="1:13" x14ac:dyDescent="0.2">
      <c r="A43" s="152"/>
      <c r="B43" s="97" t="str">
        <f>'3...Material'!G153</f>
        <v>2 D8 / 1 CAT 385</v>
      </c>
      <c r="C43" s="164" t="str">
        <f>'6...Grading'!A37</f>
        <v>Grade cover material</v>
      </c>
      <c r="D43" s="164" t="str">
        <f>'6...Grading'!B37</f>
        <v>Spring Gulch RP</v>
      </c>
      <c r="E43" s="301"/>
      <c r="F43" s="186">
        <f>2*$D$177+$D$170</f>
        <v>552.95000000000005</v>
      </c>
      <c r="G43" s="186">
        <f>2*$I$189+$I$190</f>
        <v>80.95</v>
      </c>
      <c r="H43" s="157">
        <f>'6...Grading'!I37</f>
        <v>732.42086824660453</v>
      </c>
      <c r="I43" s="164">
        <f>(F43+G43)*H43</f>
        <v>464281.58838152268</v>
      </c>
      <c r="J43" s="163">
        <f>'6...Grading'!G37</f>
        <v>44.391449459631282</v>
      </c>
      <c r="K43" s="97" t="s">
        <v>418</v>
      </c>
      <c r="L43" s="191">
        <f>IF(J43=0,"---",I43/J43)</f>
        <v>10458.806685366993</v>
      </c>
      <c r="M43" s="302"/>
    </row>
    <row r="44" spans="1:13" x14ac:dyDescent="0.2">
      <c r="A44" s="152"/>
      <c r="B44" s="97" t="str">
        <f>'3...Material'!G154</f>
        <v>2 D6</v>
      </c>
      <c r="C44" s="164" t="str">
        <f>'6...Grading'!A38</f>
        <v>Regrade/Reshape Cover</v>
      </c>
      <c r="D44" s="164" t="str">
        <f>'6...Grading'!B38</f>
        <v>FRP</v>
      </c>
      <c r="E44" s="301"/>
      <c r="F44" s="186">
        <f>2*$D$176</f>
        <v>164.44</v>
      </c>
      <c r="G44" s="186">
        <f>2*$I$189</f>
        <v>52.58</v>
      </c>
      <c r="H44" s="157">
        <f>'6...Grading'!I38</f>
        <v>631.97066685846482</v>
      </c>
      <c r="I44" s="164">
        <f>(F44+G44)*H44</f>
        <v>137150.27412162401</v>
      </c>
      <c r="J44" s="163">
        <f>'6...Grading'!G38</f>
        <v>19.151621106166562</v>
      </c>
      <c r="K44" s="97" t="s">
        <v>418</v>
      </c>
      <c r="L44" s="191">
        <f>IF(J44=0,"---",I44/J44)</f>
        <v>7161.2879850397358</v>
      </c>
      <c r="M44" s="302"/>
    </row>
    <row r="45" spans="1:13" x14ac:dyDescent="0.2">
      <c r="A45" s="152"/>
      <c r="B45" s="99"/>
      <c r="C45" s="164"/>
      <c r="D45" s="164"/>
      <c r="E45" s="99"/>
      <c r="G45" s="192"/>
      <c r="H45" s="189" t="s">
        <v>302</v>
      </c>
      <c r="I45" s="190">
        <f>SUM(I23:I44)</f>
        <v>25267542.253257878</v>
      </c>
      <c r="J45" s="99"/>
      <c r="K45" s="99"/>
      <c r="L45" s="99"/>
    </row>
    <row r="46" spans="1:13" hidden="1" x14ac:dyDescent="0.2">
      <c r="A46" s="152"/>
      <c r="B46" s="99"/>
      <c r="C46" s="164"/>
      <c r="D46" s="164"/>
      <c r="E46" s="99"/>
      <c r="G46" s="192"/>
      <c r="H46" s="157"/>
      <c r="I46" s="164"/>
      <c r="J46" s="99"/>
      <c r="K46" s="99"/>
      <c r="L46" s="99"/>
    </row>
    <row r="47" spans="1:13" ht="15.75" hidden="1" x14ac:dyDescent="0.25">
      <c r="A47" s="39" t="s">
        <v>419</v>
      </c>
      <c r="B47" s="40"/>
      <c r="C47" s="164"/>
      <c r="D47" s="164"/>
      <c r="E47" s="34"/>
      <c r="F47" s="97"/>
      <c r="G47" s="154"/>
      <c r="H47" s="157"/>
      <c r="I47" s="164"/>
      <c r="J47" s="163"/>
      <c r="K47" s="96"/>
      <c r="L47" s="96"/>
    </row>
    <row r="48" spans="1:13" hidden="1" x14ac:dyDescent="0.2">
      <c r="A48" s="152"/>
      <c r="B48" s="97">
        <f>'3...Material'!G119</f>
        <v>0</v>
      </c>
      <c r="C48" s="164" t="str">
        <f>'7...Ripper'!A12</f>
        <v>Rip existing surface</v>
      </c>
      <c r="D48" s="164">
        <f>'7...Ripper'!B12</f>
        <v>0</v>
      </c>
      <c r="E48" s="157"/>
      <c r="F48" s="186">
        <f t="shared" ref="F48:F57" si="6">$D$167</f>
        <v>444.8</v>
      </c>
      <c r="G48" s="186">
        <f t="shared" ref="G48:G57" si="7">$I$189</f>
        <v>26.29</v>
      </c>
      <c r="H48" s="157">
        <f>'7...Ripper'!H12</f>
        <v>0</v>
      </c>
      <c r="I48" s="164">
        <f>(F48+G48)*H48</f>
        <v>0</v>
      </c>
      <c r="J48" s="164">
        <f>'7...Ripper'!E12</f>
        <v>0</v>
      </c>
      <c r="K48" s="97" t="s">
        <v>418</v>
      </c>
      <c r="L48" s="191" t="str">
        <f>IF(J48=0,"---",I48/J48)</f>
        <v>---</v>
      </c>
    </row>
    <row r="49" spans="1:12" hidden="1" x14ac:dyDescent="0.2">
      <c r="A49" s="152"/>
      <c r="B49" s="97">
        <f>'3...Material'!G120</f>
        <v>0</v>
      </c>
      <c r="C49" s="164">
        <f>'7...Ripper'!A13</f>
        <v>0</v>
      </c>
      <c r="D49" s="164">
        <f>'7...Ripper'!B13</f>
        <v>0</v>
      </c>
      <c r="E49" s="157"/>
      <c r="F49" s="186">
        <f t="shared" si="6"/>
        <v>444.8</v>
      </c>
      <c r="G49" s="186">
        <f t="shared" si="7"/>
        <v>26.29</v>
      </c>
      <c r="H49" s="157">
        <f>'7...Ripper'!H13</f>
        <v>0</v>
      </c>
      <c r="I49" s="164">
        <f t="shared" ref="I49:I57" si="8">(F49+G49)*H49</f>
        <v>0</v>
      </c>
      <c r="J49" s="164">
        <f>'7...Ripper'!E13</f>
        <v>0</v>
      </c>
      <c r="K49" s="97" t="s">
        <v>418</v>
      </c>
      <c r="L49" s="191" t="str">
        <f t="shared" ref="L49:L57" si="9">IF(J49=0,"---",I49/J49)</f>
        <v>---</v>
      </c>
    </row>
    <row r="50" spans="1:12" hidden="1" x14ac:dyDescent="0.2">
      <c r="A50" s="152"/>
      <c r="B50" s="97">
        <f>'3...Material'!G121</f>
        <v>0</v>
      </c>
      <c r="C50" s="164">
        <f>'7...Ripper'!A14</f>
        <v>0</v>
      </c>
      <c r="D50" s="164">
        <f>'7...Ripper'!B14</f>
        <v>0</v>
      </c>
      <c r="E50" s="157"/>
      <c r="F50" s="186">
        <f t="shared" si="6"/>
        <v>444.8</v>
      </c>
      <c r="G50" s="186">
        <f t="shared" si="7"/>
        <v>26.29</v>
      </c>
      <c r="H50" s="157">
        <f>'7...Ripper'!H14</f>
        <v>0</v>
      </c>
      <c r="I50" s="164">
        <f t="shared" si="8"/>
        <v>0</v>
      </c>
      <c r="J50" s="164">
        <f>'7...Ripper'!E14</f>
        <v>0</v>
      </c>
      <c r="K50" s="97" t="s">
        <v>418</v>
      </c>
      <c r="L50" s="191" t="str">
        <f t="shared" si="9"/>
        <v>---</v>
      </c>
    </row>
    <row r="51" spans="1:12" hidden="1" x14ac:dyDescent="0.2">
      <c r="A51" s="152"/>
      <c r="B51" s="97">
        <f>'3...Material'!G122</f>
        <v>0</v>
      </c>
      <c r="C51" s="164">
        <f>'7...Ripper'!A15</f>
        <v>0</v>
      </c>
      <c r="D51" s="164">
        <f>'7...Ripper'!B15</f>
        <v>0</v>
      </c>
      <c r="E51" s="157"/>
      <c r="F51" s="186">
        <f t="shared" si="6"/>
        <v>444.8</v>
      </c>
      <c r="G51" s="186">
        <f t="shared" si="7"/>
        <v>26.29</v>
      </c>
      <c r="H51" s="157">
        <f>'7...Ripper'!H15</f>
        <v>0</v>
      </c>
      <c r="I51" s="164">
        <f t="shared" si="8"/>
        <v>0</v>
      </c>
      <c r="J51" s="164">
        <f>'7...Ripper'!E15</f>
        <v>0</v>
      </c>
      <c r="K51" s="97" t="s">
        <v>418</v>
      </c>
      <c r="L51" s="191" t="str">
        <f t="shared" si="9"/>
        <v>---</v>
      </c>
    </row>
    <row r="52" spans="1:12" hidden="1" x14ac:dyDescent="0.2">
      <c r="A52" s="152"/>
      <c r="B52" s="97">
        <f>'3...Material'!G123</f>
        <v>0</v>
      </c>
      <c r="C52" s="164">
        <f>'7...Ripper'!A16</f>
        <v>0</v>
      </c>
      <c r="D52" s="164">
        <f>'7...Ripper'!B16</f>
        <v>0</v>
      </c>
      <c r="E52" s="157"/>
      <c r="F52" s="186">
        <f t="shared" si="6"/>
        <v>444.8</v>
      </c>
      <c r="G52" s="186">
        <f t="shared" si="7"/>
        <v>26.29</v>
      </c>
      <c r="H52" s="157">
        <f>'7...Ripper'!H16</f>
        <v>0</v>
      </c>
      <c r="I52" s="164">
        <f t="shared" si="8"/>
        <v>0</v>
      </c>
      <c r="J52" s="164">
        <f>'7...Ripper'!E16</f>
        <v>0</v>
      </c>
      <c r="K52" s="97" t="s">
        <v>418</v>
      </c>
      <c r="L52" s="191" t="str">
        <f t="shared" si="9"/>
        <v>---</v>
      </c>
    </row>
    <row r="53" spans="1:12" hidden="1" x14ac:dyDescent="0.2">
      <c r="A53" s="152"/>
      <c r="B53" s="97">
        <f>'3...Material'!G124</f>
        <v>0</v>
      </c>
      <c r="C53" s="164">
        <f>'7...Ripper'!A17</f>
        <v>0</v>
      </c>
      <c r="D53" s="164">
        <f>'7...Ripper'!B17</f>
        <v>0</v>
      </c>
      <c r="E53" s="157"/>
      <c r="F53" s="186">
        <f t="shared" si="6"/>
        <v>444.8</v>
      </c>
      <c r="G53" s="186">
        <f t="shared" si="7"/>
        <v>26.29</v>
      </c>
      <c r="H53" s="157">
        <f>'7...Ripper'!H17</f>
        <v>0</v>
      </c>
      <c r="I53" s="164">
        <f t="shared" si="8"/>
        <v>0</v>
      </c>
      <c r="J53" s="164">
        <f>'7...Ripper'!E17</f>
        <v>0</v>
      </c>
      <c r="K53" s="97" t="s">
        <v>418</v>
      </c>
      <c r="L53" s="191" t="str">
        <f t="shared" si="9"/>
        <v>---</v>
      </c>
    </row>
    <row r="54" spans="1:12" hidden="1" x14ac:dyDescent="0.2">
      <c r="A54" s="152"/>
      <c r="B54" s="97">
        <f>'3...Material'!G125</f>
        <v>0</v>
      </c>
      <c r="C54" s="164">
        <f>'7...Ripper'!A18</f>
        <v>0</v>
      </c>
      <c r="D54" s="164">
        <f>'7...Ripper'!B18</f>
        <v>0</v>
      </c>
      <c r="E54" s="157"/>
      <c r="F54" s="186">
        <f t="shared" si="6"/>
        <v>444.8</v>
      </c>
      <c r="G54" s="186">
        <f t="shared" si="7"/>
        <v>26.29</v>
      </c>
      <c r="H54" s="157">
        <f>'7...Ripper'!H18</f>
        <v>0</v>
      </c>
      <c r="I54" s="164">
        <f t="shared" si="8"/>
        <v>0</v>
      </c>
      <c r="J54" s="164">
        <f>'7...Ripper'!E18</f>
        <v>0</v>
      </c>
      <c r="K54" s="97" t="s">
        <v>418</v>
      </c>
      <c r="L54" s="191" t="str">
        <f t="shared" si="9"/>
        <v>---</v>
      </c>
    </row>
    <row r="55" spans="1:12" hidden="1" x14ac:dyDescent="0.2">
      <c r="A55" s="152"/>
      <c r="B55" s="97">
        <f>'3...Material'!G126</f>
        <v>0</v>
      </c>
      <c r="C55" s="164">
        <f>'7...Ripper'!A19</f>
        <v>0</v>
      </c>
      <c r="D55" s="164">
        <f>'7...Ripper'!B19</f>
        <v>0</v>
      </c>
      <c r="E55" s="157"/>
      <c r="F55" s="186">
        <f t="shared" si="6"/>
        <v>444.8</v>
      </c>
      <c r="G55" s="186">
        <f t="shared" si="7"/>
        <v>26.29</v>
      </c>
      <c r="H55" s="157">
        <f>'7...Ripper'!H19</f>
        <v>0</v>
      </c>
      <c r="I55" s="164">
        <f t="shared" si="8"/>
        <v>0</v>
      </c>
      <c r="J55" s="164">
        <f>'7...Ripper'!E19</f>
        <v>0</v>
      </c>
      <c r="K55" s="97" t="s">
        <v>418</v>
      </c>
      <c r="L55" s="191" t="str">
        <f t="shared" si="9"/>
        <v>---</v>
      </c>
    </row>
    <row r="56" spans="1:12" hidden="1" x14ac:dyDescent="0.2">
      <c r="A56" s="152"/>
      <c r="B56" s="97">
        <f>'3...Material'!G128</f>
        <v>0</v>
      </c>
      <c r="C56" s="164">
        <f>'7...Ripper'!A20</f>
        <v>0</v>
      </c>
      <c r="D56" s="164">
        <f>'7...Ripper'!B20</f>
        <v>0</v>
      </c>
      <c r="E56" s="193">
        <f>'7...Ripper'!C20</f>
        <v>0</v>
      </c>
      <c r="F56" s="186">
        <f t="shared" si="6"/>
        <v>444.8</v>
      </c>
      <c r="G56" s="186">
        <f t="shared" si="7"/>
        <v>26.29</v>
      </c>
      <c r="H56" s="157">
        <f>'7...Ripper'!H20</f>
        <v>0</v>
      </c>
      <c r="I56" s="164">
        <f t="shared" si="8"/>
        <v>0</v>
      </c>
      <c r="J56" s="164">
        <f>'7...Ripper'!E20</f>
        <v>0</v>
      </c>
      <c r="K56" s="97" t="s">
        <v>418</v>
      </c>
      <c r="L56" s="191" t="str">
        <f t="shared" si="9"/>
        <v>---</v>
      </c>
    </row>
    <row r="57" spans="1:12" hidden="1" x14ac:dyDescent="0.2">
      <c r="A57" s="152"/>
      <c r="B57" s="97">
        <f>'3...Material'!G129</f>
        <v>0</v>
      </c>
      <c r="C57" s="164">
        <f>'7...Ripper'!A21</f>
        <v>0</v>
      </c>
      <c r="D57" s="164">
        <f>'7...Ripper'!B21</f>
        <v>0</v>
      </c>
      <c r="E57" s="157"/>
      <c r="F57" s="186">
        <f t="shared" si="6"/>
        <v>444.8</v>
      </c>
      <c r="G57" s="186">
        <f t="shared" si="7"/>
        <v>26.29</v>
      </c>
      <c r="H57" s="157">
        <f>'7...Ripper'!H21</f>
        <v>0</v>
      </c>
      <c r="I57" s="164">
        <f t="shared" si="8"/>
        <v>0</v>
      </c>
      <c r="J57" s="164">
        <f>'7...Ripper'!E21</f>
        <v>0</v>
      </c>
      <c r="K57" s="97" t="s">
        <v>418</v>
      </c>
      <c r="L57" s="191" t="str">
        <f t="shared" si="9"/>
        <v>---</v>
      </c>
    </row>
    <row r="58" spans="1:12" hidden="1" x14ac:dyDescent="0.2">
      <c r="A58" s="103"/>
      <c r="B58" s="96"/>
      <c r="C58" s="164"/>
      <c r="D58" s="164"/>
      <c r="E58" s="34"/>
      <c r="F58" s="186"/>
      <c r="G58" s="186"/>
      <c r="H58" s="189" t="s">
        <v>302</v>
      </c>
      <c r="I58" s="190">
        <f>SUM(I48:I57)</f>
        <v>0</v>
      </c>
      <c r="J58" s="163"/>
      <c r="K58" s="97"/>
      <c r="L58" s="186"/>
    </row>
    <row r="59" spans="1:12" x14ac:dyDescent="0.2">
      <c r="A59" s="103"/>
      <c r="B59" s="96"/>
      <c r="C59" s="164"/>
      <c r="D59" s="164"/>
      <c r="E59" s="34"/>
      <c r="F59" s="186"/>
      <c r="G59" s="186"/>
      <c r="H59" s="157"/>
      <c r="I59" s="164"/>
      <c r="J59" s="163"/>
      <c r="K59" s="97"/>
      <c r="L59" s="186"/>
    </row>
    <row r="60" spans="1:12" ht="15.75" x14ac:dyDescent="0.25">
      <c r="A60" s="41" t="s">
        <v>420</v>
      </c>
      <c r="B60" s="19"/>
      <c r="C60" s="164"/>
      <c r="D60" s="164"/>
      <c r="E60" s="34"/>
      <c r="F60" s="186"/>
      <c r="G60" s="186"/>
      <c r="H60" s="157"/>
      <c r="I60" s="164"/>
      <c r="J60" s="163"/>
      <c r="K60" s="97"/>
      <c r="L60" s="186"/>
    </row>
    <row r="61" spans="1:12" ht="15.75" x14ac:dyDescent="0.25">
      <c r="A61" s="41"/>
      <c r="B61" s="165" t="str">
        <f>'3...Material'!G21</f>
        <v>PC5500 + .5 D10 + .5 854</v>
      </c>
      <c r="C61" s="164" t="str">
        <f>'8...Loader'!A13</f>
        <v>Load waste material on trucks</v>
      </c>
      <c r="D61" s="164" t="str">
        <f>'4...Earthwrk'!C21</f>
        <v>Front RP 9350'</v>
      </c>
      <c r="E61" s="164" t="str">
        <f>'4...Earthwrk'!D21</f>
        <v>Pit Repository Ramp 8770' to 8520'</v>
      </c>
      <c r="F61" s="186">
        <f t="shared" ref="F61:F77" si="10">$D$169+0.5*$D$175+0.5*$D$173</f>
        <v>1537.9950000000001</v>
      </c>
      <c r="G61" s="186">
        <f t="shared" ref="G61:G87" si="11">$I$189+$I$190</f>
        <v>54.660000000000004</v>
      </c>
      <c r="H61" s="157">
        <f>MAX('8...Loader'!G13,'9...Trucks'!I13)</f>
        <v>1352.9240241837319</v>
      </c>
      <c r="I61" s="164">
        <f t="shared" ref="I61:I107" si="12">(F61+G61)*H61</f>
        <v>2154741.2117363419</v>
      </c>
      <c r="J61" s="164">
        <f>'8...Loader'!C13</f>
        <v>2437000</v>
      </c>
      <c r="K61" s="97" t="s">
        <v>416</v>
      </c>
      <c r="L61" s="191">
        <f t="shared" ref="L61:L67" si="13">IF(J61=0,"---",I61/J61)</f>
        <v>0.8841777643563159</v>
      </c>
    </row>
    <row r="62" spans="1:12" ht="15.75" x14ac:dyDescent="0.25">
      <c r="A62" s="41"/>
      <c r="B62" s="165" t="str">
        <f>'3...Material'!G22</f>
        <v>PC5500 + .5 D10 + .5 854</v>
      </c>
      <c r="C62" s="164" t="str">
        <f>'8...Loader'!A14</f>
        <v>Load waste material on trucks</v>
      </c>
      <c r="D62" s="164" t="str">
        <f>'4...Earthwrk'!C22</f>
        <v>Front RP 8850' to 8950'</v>
      </c>
      <c r="E62" s="164" t="str">
        <f>'4...Earthwrk'!D22</f>
        <v>Pit Repository 8870 to 8900</v>
      </c>
      <c r="F62" s="186">
        <f t="shared" si="10"/>
        <v>1537.9950000000001</v>
      </c>
      <c r="G62" s="186">
        <f t="shared" si="11"/>
        <v>54.660000000000004</v>
      </c>
      <c r="H62" s="157">
        <f>MAX('8...Loader'!G14,'9...Trucks'!I14)</f>
        <v>2896.8229619165832</v>
      </c>
      <c r="I62" s="164">
        <f t="shared" si="12"/>
        <v>4613639.5744112562</v>
      </c>
      <c r="J62" s="164">
        <f>'8...Loader'!C14</f>
        <v>5218000</v>
      </c>
      <c r="K62" s="97" t="s">
        <v>416</v>
      </c>
      <c r="L62" s="191">
        <f t="shared" si="13"/>
        <v>0.8841777643563159</v>
      </c>
    </row>
    <row r="63" spans="1:12" ht="15.75" x14ac:dyDescent="0.25">
      <c r="A63" s="41"/>
      <c r="B63" s="165" t="str">
        <f>'3...Material'!G23</f>
        <v>PC5500 + .5 D10 + .5 854</v>
      </c>
      <c r="C63" s="164" t="str">
        <f>'8...Loader'!A15</f>
        <v>Load waste material on trucks</v>
      </c>
      <c r="D63" s="164" t="str">
        <f>'4...Earthwrk'!C23</f>
        <v>Front RP 8950' to 9050'</v>
      </c>
      <c r="E63" s="164" t="str">
        <f>'4...Earthwrk'!D23</f>
        <v>Pit Repository 8870 to 8900</v>
      </c>
      <c r="F63" s="186">
        <f t="shared" si="10"/>
        <v>1537.9950000000001</v>
      </c>
      <c r="G63" s="186">
        <f t="shared" si="11"/>
        <v>54.660000000000004</v>
      </c>
      <c r="H63" s="157">
        <f>MAX('8...Loader'!G15,'9...Trucks'!I15)</f>
        <v>748.35518448899074</v>
      </c>
      <c r="I63" s="164">
        <f t="shared" si="12"/>
        <v>1191871.6263523137</v>
      </c>
      <c r="J63" s="164">
        <f>'8...Loader'!C15</f>
        <v>1348000</v>
      </c>
      <c r="K63" s="97" t="s">
        <v>416</v>
      </c>
      <c r="L63" s="191">
        <f t="shared" si="13"/>
        <v>0.88417776435631579</v>
      </c>
    </row>
    <row r="64" spans="1:12" ht="15.75" x14ac:dyDescent="0.25">
      <c r="A64" s="41"/>
      <c r="B64" s="165" t="str">
        <f>'3...Material'!G24</f>
        <v>PC5500 + .5 D10 + .5 854</v>
      </c>
      <c r="C64" s="164" t="str">
        <f>'8...Loader'!A16</f>
        <v>Load waste material on trucks</v>
      </c>
      <c r="D64" s="164" t="str">
        <f>'4...Earthwrk'!C24</f>
        <v>Front RP 8750 to 8850</v>
      </c>
      <c r="E64" s="164" t="str">
        <f>'4...Earthwrk'!D24</f>
        <v>Pit Repository 8770 to 8900</v>
      </c>
      <c r="F64" s="186">
        <f t="shared" si="10"/>
        <v>1537.9950000000001</v>
      </c>
      <c r="G64" s="186">
        <f t="shared" si="11"/>
        <v>54.660000000000004</v>
      </c>
      <c r="H64" s="157">
        <f>MAX('8...Loader'!G16,'9...Trucks'!I16)</f>
        <v>2079.6279830087237</v>
      </c>
      <c r="I64" s="164">
        <f t="shared" si="12"/>
        <v>3312129.9052787595</v>
      </c>
      <c r="J64" s="164">
        <f>'8...Loader'!C16</f>
        <v>3746000</v>
      </c>
      <c r="K64" s="97" t="s">
        <v>416</v>
      </c>
      <c r="L64" s="191">
        <f t="shared" si="13"/>
        <v>0.8841777643563159</v>
      </c>
    </row>
    <row r="65" spans="1:12" ht="15.75" x14ac:dyDescent="0.25">
      <c r="A65" s="41"/>
      <c r="B65" s="165" t="str">
        <f>'3...Material'!G25</f>
        <v>PC5500 + .5 D10 + .5 854</v>
      </c>
      <c r="C65" s="164" t="str">
        <f>'8...Loader'!A17</f>
        <v>Load waste material on trucks</v>
      </c>
      <c r="D65" s="164" t="str">
        <f>'4...Earthwrk'!C25</f>
        <v>Front RP 8550 to 8650</v>
      </c>
      <c r="E65" s="164" t="str">
        <f>'4...Earthwrk'!D25</f>
        <v>Pit Repository 8900 to 9130</v>
      </c>
      <c r="F65" s="186">
        <f t="shared" si="10"/>
        <v>1537.9950000000001</v>
      </c>
      <c r="G65" s="186">
        <f t="shared" si="11"/>
        <v>54.660000000000004</v>
      </c>
      <c r="H65" s="157">
        <f>MAX('8...Loader'!G17,'9...Trucks'!I17)</f>
        <v>129.90735398399394</v>
      </c>
      <c r="I65" s="164">
        <f t="shared" si="12"/>
        <v>206897.5968593779</v>
      </c>
      <c r="J65" s="164">
        <f>'8...Loader'!C17</f>
        <v>234000</v>
      </c>
      <c r="K65" s="97" t="s">
        <v>416</v>
      </c>
      <c r="L65" s="191">
        <f t="shared" si="13"/>
        <v>0.88417776435631579</v>
      </c>
    </row>
    <row r="66" spans="1:12" ht="15.75" x14ac:dyDescent="0.25">
      <c r="A66" s="41"/>
      <c r="B66" s="165" t="str">
        <f>'3...Material'!G26</f>
        <v>PC5500 + .5 D10 + .5 854</v>
      </c>
      <c r="C66" s="164" t="str">
        <f>'8...Loader'!A18</f>
        <v>Load waste material on trucks</v>
      </c>
      <c r="D66" s="164" t="str">
        <f>'4...Earthwrk'!C26</f>
        <v>Front RP 8450 to 8550</v>
      </c>
      <c r="E66" s="164" t="str">
        <f>'4...Earthwrk'!D26</f>
        <v>Pit Repository 8900 to 9130</v>
      </c>
      <c r="F66" s="186">
        <f t="shared" si="10"/>
        <v>1537.9950000000001</v>
      </c>
      <c r="G66" s="186">
        <f t="shared" si="11"/>
        <v>54.660000000000004</v>
      </c>
      <c r="H66" s="157">
        <f>MAX('8...Loader'!G18,'9...Trucks'!I18)</f>
        <v>290.36220863328015</v>
      </c>
      <c r="I66" s="164">
        <f t="shared" si="12"/>
        <v>462446.82339083683</v>
      </c>
      <c r="J66" s="164">
        <f>'8...Loader'!C18</f>
        <v>511000</v>
      </c>
      <c r="K66" s="97" t="s">
        <v>416</v>
      </c>
      <c r="L66" s="191">
        <f t="shared" si="13"/>
        <v>0.90498399880789981</v>
      </c>
    </row>
    <row r="67" spans="1:12" ht="15.75" x14ac:dyDescent="0.25">
      <c r="A67" s="41"/>
      <c r="B67" s="165" t="str">
        <f>'3...Material'!G27</f>
        <v>PC5500 + .5 D10 + .5 854</v>
      </c>
      <c r="C67" s="164" t="str">
        <f>'8...Loader'!A19</f>
        <v>Load waste material on trucks</v>
      </c>
      <c r="D67" s="164" t="str">
        <f>'4...Earthwrk'!C27</f>
        <v>Front RP 9250 to 9350</v>
      </c>
      <c r="E67" s="164" t="str">
        <f>'4...Earthwrk'!D27</f>
        <v>Pit Repository Ramp 8770 to 8520</v>
      </c>
      <c r="F67" s="186">
        <f t="shared" si="10"/>
        <v>1537.9950000000001</v>
      </c>
      <c r="G67" s="186">
        <f t="shared" si="11"/>
        <v>54.660000000000004</v>
      </c>
      <c r="H67" s="157">
        <f>MAX('8...Loader'!G19,'9...Trucks'!I19)</f>
        <v>526.00645785722338</v>
      </c>
      <c r="I67" s="164">
        <f t="shared" si="12"/>
        <v>837746.81513859623</v>
      </c>
      <c r="J67" s="164">
        <f>'8...Loader'!C19</f>
        <v>913000</v>
      </c>
      <c r="K67" s="97" t="s">
        <v>416</v>
      </c>
      <c r="L67" s="191">
        <f t="shared" si="13"/>
        <v>0.91757592019561474</v>
      </c>
    </row>
    <row r="68" spans="1:12" x14ac:dyDescent="0.2">
      <c r="A68" s="103"/>
      <c r="B68" s="165" t="str">
        <f>'3...Material'!G28</f>
        <v>PC5500 + .5 D10 + .5 854</v>
      </c>
      <c r="C68" s="164" t="str">
        <f>'8...Loader'!A20</f>
        <v>Load waste material on trucks</v>
      </c>
      <c r="D68" s="164" t="str">
        <f>'4...Earthwrk'!C28</f>
        <v>Front RP 9250 to 9350</v>
      </c>
      <c r="E68" s="164" t="str">
        <f>'4...Earthwrk'!D28</f>
        <v>Pit Repository 8520 to 8650</v>
      </c>
      <c r="F68" s="186">
        <f t="shared" si="10"/>
        <v>1537.9950000000001</v>
      </c>
      <c r="G68" s="186">
        <f t="shared" si="11"/>
        <v>54.660000000000004</v>
      </c>
      <c r="H68" s="157">
        <f>MAX('8...Loader'!G20,'9...Trucks'!I20)</f>
        <v>1121.977617101076</v>
      </c>
      <c r="I68" s="164">
        <f t="shared" si="12"/>
        <v>1786923.2617641145</v>
      </c>
      <c r="J68" s="164">
        <f>'8...Loader'!C20</f>
        <v>2021000</v>
      </c>
      <c r="K68" s="97" t="s">
        <v>416</v>
      </c>
      <c r="L68" s="191">
        <f>IF(J68=0,"---",I68/J68)</f>
        <v>0.8841777643563159</v>
      </c>
    </row>
    <row r="69" spans="1:12" x14ac:dyDescent="0.2">
      <c r="A69" s="103"/>
      <c r="B69" s="165" t="str">
        <f>'3...Material'!G29</f>
        <v>PC5500 + .5 D10 + .5 854</v>
      </c>
      <c r="C69" s="164" t="str">
        <f>'8...Loader'!A21</f>
        <v>Load waste material on trucks</v>
      </c>
      <c r="D69" s="164" t="str">
        <f>'4...Earthwrk'!C29</f>
        <v>Front RP 9050 to 9150</v>
      </c>
      <c r="E69" s="164" t="str">
        <f>'4...Earthwrk'!D29</f>
        <v>Pit Repository 8650 to 8770</v>
      </c>
      <c r="F69" s="186">
        <f t="shared" si="10"/>
        <v>1537.9950000000001</v>
      </c>
      <c r="G69" s="186">
        <f t="shared" si="11"/>
        <v>54.660000000000004</v>
      </c>
      <c r="H69" s="157">
        <f>MAX('8...Loader'!G21,'9...Trucks'!I21)</f>
        <v>2594.8161218854175</v>
      </c>
      <c r="I69" s="164">
        <f t="shared" si="12"/>
        <v>4132646.8706014203</v>
      </c>
      <c r="J69" s="164">
        <f>'8...Loader'!C21</f>
        <v>4674000</v>
      </c>
      <c r="K69" s="97" t="s">
        <v>416</v>
      </c>
      <c r="L69" s="191">
        <f t="shared" ref="L69:L78" si="14">IF(J69=0,"---",I69/J69)</f>
        <v>0.8841777643563159</v>
      </c>
    </row>
    <row r="70" spans="1:12" x14ac:dyDescent="0.2">
      <c r="A70" s="103"/>
      <c r="B70" s="165" t="str">
        <f>'3...Material'!G30</f>
        <v>PC5500 + .5 D10 + .5 854</v>
      </c>
      <c r="C70" s="164" t="str">
        <f>'8...Loader'!A22</f>
        <v>Load waste material on trucks</v>
      </c>
      <c r="D70" s="164" t="str">
        <f>'4...Earthwrk'!C30</f>
        <v>Front RP 8950 to 9050</v>
      </c>
      <c r="E70" s="164" t="str">
        <f>'4...Earthwrk'!D30</f>
        <v>Pit Repository 8650 to 8770</v>
      </c>
      <c r="F70" s="186">
        <f t="shared" si="10"/>
        <v>1537.9950000000001</v>
      </c>
      <c r="G70" s="186">
        <f t="shared" si="11"/>
        <v>54.660000000000004</v>
      </c>
      <c r="H70" s="157">
        <f>MAX('8...Loader'!G22,'9...Trucks'!I22)</f>
        <v>2200.6527828741541</v>
      </c>
      <c r="I70" s="164">
        <f t="shared" si="12"/>
        <v>3504880.6579084364</v>
      </c>
      <c r="J70" s="164">
        <f>'8...Loader'!C22</f>
        <v>3964000</v>
      </c>
      <c r="K70" s="97" t="s">
        <v>416</v>
      </c>
      <c r="L70" s="191">
        <f t="shared" si="14"/>
        <v>0.8841777643563159</v>
      </c>
    </row>
    <row r="71" spans="1:12" x14ac:dyDescent="0.2">
      <c r="A71" s="103"/>
      <c r="B71" s="165" t="str">
        <f>'3...Material'!G31</f>
        <v>PC5500 + .5 D10 + .5 854</v>
      </c>
      <c r="C71" s="164" t="str">
        <f>'8...Loader'!A23</f>
        <v>Load waste material on trucks</v>
      </c>
      <c r="D71" s="164" t="str">
        <f>'4...Earthwrk'!C31</f>
        <v>Front RP 8650 to 8750</v>
      </c>
      <c r="E71" s="164" t="str">
        <f>'4...Earthwrk'!D31</f>
        <v>Blind Gulch Bottom</v>
      </c>
      <c r="F71" s="186">
        <f t="shared" si="10"/>
        <v>1537.9950000000001</v>
      </c>
      <c r="G71" s="186">
        <f t="shared" si="11"/>
        <v>54.660000000000004</v>
      </c>
      <c r="H71" s="157">
        <f>MAX('8...Loader'!G23,'9...Trucks'!I23)</f>
        <v>922.67530906580316</v>
      </c>
      <c r="I71" s="164">
        <f t="shared" si="12"/>
        <v>1469503.4443601968</v>
      </c>
      <c r="J71" s="164">
        <f>'8...Loader'!C23</f>
        <v>1662000</v>
      </c>
      <c r="K71" s="97" t="s">
        <v>416</v>
      </c>
      <c r="L71" s="191">
        <f t="shared" si="14"/>
        <v>0.88417776435631579</v>
      </c>
    </row>
    <row r="72" spans="1:12" x14ac:dyDescent="0.2">
      <c r="A72" s="103"/>
      <c r="B72" s="165" t="str">
        <f>'3...Material'!G32</f>
        <v>PC5500 + .5 D10 + .5 854</v>
      </c>
      <c r="C72" s="164" t="str">
        <f>'8...Loader'!A24</f>
        <v>Load waste material on trucks</v>
      </c>
      <c r="D72" s="164" t="str">
        <f>'4...Earthwrk'!C32</f>
        <v>Front RP 9150 to 9250</v>
      </c>
      <c r="E72" s="164" t="str">
        <f>'4...Earthwrk'!D32</f>
        <v>Pit Repository 8520 to 8650</v>
      </c>
      <c r="F72" s="186">
        <f t="shared" si="10"/>
        <v>1537.9950000000001</v>
      </c>
      <c r="G72" s="186">
        <f t="shared" si="11"/>
        <v>54.660000000000004</v>
      </c>
      <c r="H72" s="157">
        <f>MAX('8...Loader'!G24,'9...Trucks'!I24)</f>
        <v>2412.1686028224517</v>
      </c>
      <c r="I72" s="164">
        <f t="shared" si="12"/>
        <v>3841752.3861281923</v>
      </c>
      <c r="J72" s="164">
        <f>'8...Loader'!C24</f>
        <v>4345000</v>
      </c>
      <c r="K72" s="97" t="s">
        <v>416</v>
      </c>
      <c r="L72" s="191">
        <f t="shared" si="14"/>
        <v>0.88417776435631579</v>
      </c>
    </row>
    <row r="73" spans="1:12" x14ac:dyDescent="0.2">
      <c r="A73" s="103"/>
      <c r="B73" s="165" t="str">
        <f>'3...Material'!G33</f>
        <v>PC5500 + .5 D10 + .5 854</v>
      </c>
      <c r="C73" s="164" t="str">
        <f>'8...Loader'!A25</f>
        <v>Load waste material on trucks</v>
      </c>
      <c r="D73" s="164" t="str">
        <f>'4...Earthwrk'!C33</f>
        <v>Front RP 8550 to 8650</v>
      </c>
      <c r="E73" s="164" t="str">
        <f>'4...Earthwrk'!D33</f>
        <v>Blind Gulch Bottom</v>
      </c>
      <c r="F73" s="186">
        <f t="shared" si="10"/>
        <v>1537.9950000000001</v>
      </c>
      <c r="G73" s="186">
        <f t="shared" si="11"/>
        <v>54.660000000000004</v>
      </c>
      <c r="H73" s="157">
        <f>MAX('8...Loader'!G25,'9...Trucks'!I25)</f>
        <v>1159.7401729033224</v>
      </c>
      <c r="I73" s="164">
        <f t="shared" si="12"/>
        <v>1847065.9850753413</v>
      </c>
      <c r="J73" s="164">
        <f>'8...Loader'!C25</f>
        <v>2085000</v>
      </c>
      <c r="K73" s="97" t="s">
        <v>416</v>
      </c>
      <c r="L73" s="191">
        <f t="shared" si="14"/>
        <v>0.88588296646299347</v>
      </c>
    </row>
    <row r="74" spans="1:12" x14ac:dyDescent="0.2">
      <c r="A74" s="103"/>
      <c r="B74" s="165" t="str">
        <f>'3...Material'!G34</f>
        <v>PC5500 + .5 D10 + .5 854</v>
      </c>
      <c r="C74" s="164" t="str">
        <f>'8...Loader'!A26</f>
        <v>Load waste material on trucks</v>
      </c>
      <c r="D74" s="164" t="str">
        <f>'4...Earthwrk'!C34</f>
        <v>Front RP 9050 to 9150</v>
      </c>
      <c r="E74" s="164" t="str">
        <f>'4...Earthwrk'!D34</f>
        <v>Pit Repository 8520 to 8650</v>
      </c>
      <c r="F74" s="186">
        <f t="shared" si="10"/>
        <v>1537.9950000000001</v>
      </c>
      <c r="G74" s="186">
        <f t="shared" si="11"/>
        <v>54.660000000000004</v>
      </c>
      <c r="H74" s="157">
        <f>MAX('8...Loader'!G26,'9...Trucks'!I26)</f>
        <v>97.847983350079176</v>
      </c>
      <c r="I74" s="164">
        <f t="shared" si="12"/>
        <v>155838.07992242038</v>
      </c>
      <c r="J74" s="164">
        <f>'8...Loader'!C26</f>
        <v>163000</v>
      </c>
      <c r="K74" s="97" t="s">
        <v>416</v>
      </c>
      <c r="L74" s="191">
        <f t="shared" si="14"/>
        <v>0.95606184001484895</v>
      </c>
    </row>
    <row r="75" spans="1:12" x14ac:dyDescent="0.2">
      <c r="A75" s="103"/>
      <c r="B75" s="165" t="str">
        <f>'3...Material'!G35</f>
        <v>PC5500 + .5 D10 + .5 854</v>
      </c>
      <c r="C75" s="164" t="str">
        <f>'8...Loader'!A27</f>
        <v>Load waste material on trucks</v>
      </c>
      <c r="D75" s="164" t="str">
        <f>'4...Earthwrk'!C35</f>
        <v>Front RP 8750 to 8850</v>
      </c>
      <c r="E75" s="164" t="str">
        <f>'4...Earthwrk'!D35</f>
        <v>Pit Repository 8650 to 8770</v>
      </c>
      <c r="F75" s="186">
        <f t="shared" si="10"/>
        <v>1537.9950000000001</v>
      </c>
      <c r="G75" s="186">
        <f t="shared" si="11"/>
        <v>54.660000000000004</v>
      </c>
      <c r="H75" s="157">
        <f>MAX('8...Loader'!G27,'9...Trucks'!I27)</f>
        <v>381.39466746582838</v>
      </c>
      <c r="I75" s="164">
        <f t="shared" si="12"/>
        <v>607430.12411278894</v>
      </c>
      <c r="J75" s="164">
        <f>'8...Loader'!C27</f>
        <v>687000</v>
      </c>
      <c r="K75" s="97" t="s">
        <v>416</v>
      </c>
      <c r="L75" s="191">
        <f t="shared" si="14"/>
        <v>0.88417776435631579</v>
      </c>
    </row>
    <row r="76" spans="1:12" x14ac:dyDescent="0.2">
      <c r="A76" s="103"/>
      <c r="B76" s="165" t="str">
        <f>'3...Material'!G36</f>
        <v>PC5500 + .5 D10 + .5 854</v>
      </c>
      <c r="C76" s="164" t="str">
        <f>'8...Loader'!A28</f>
        <v>Load waste material on trucks</v>
      </c>
      <c r="D76" s="164" t="str">
        <f>'4...Earthwrk'!C36</f>
        <v>Front RP 8650 to 8750</v>
      </c>
      <c r="E76" s="164" t="str">
        <f>'4...Earthwrk'!D36</f>
        <v>Pit Repository 8650 to 8770</v>
      </c>
      <c r="F76" s="186">
        <f t="shared" si="10"/>
        <v>1537.9950000000001</v>
      </c>
      <c r="G76" s="186">
        <f t="shared" si="11"/>
        <v>54.660000000000004</v>
      </c>
      <c r="H76" s="157">
        <f>MAX('8...Loader'!G28,'9...Trucks'!I28)</f>
        <v>639.54389653658563</v>
      </c>
      <c r="I76" s="164">
        <f t="shared" si="12"/>
        <v>1018572.7845384759</v>
      </c>
      <c r="J76" s="164">
        <f>'8...Loader'!C28</f>
        <v>1152000</v>
      </c>
      <c r="K76" s="97" t="s">
        <v>416</v>
      </c>
      <c r="L76" s="191">
        <f>IF(J76=0,"---",I76/J76)</f>
        <v>0.8841777643563159</v>
      </c>
    </row>
    <row r="77" spans="1:12" x14ac:dyDescent="0.2">
      <c r="A77" s="103"/>
      <c r="B77" s="165" t="str">
        <f>'3...Material'!G37</f>
        <v>PC5500 + .5 D10 + .5 854</v>
      </c>
      <c r="C77" s="164" t="str">
        <f>'8...Loader'!A29</f>
        <v>Load waste material on trucks</v>
      </c>
      <c r="D77" s="164" t="str">
        <f>'4...Earthwrk'!C37</f>
        <v>Front RP 9350 and above</v>
      </c>
      <c r="E77" s="164" t="str">
        <f>'4...Earthwrk'!D37</f>
        <v>Pit Repository Top</v>
      </c>
      <c r="F77" s="186">
        <f t="shared" si="10"/>
        <v>1537.9950000000001</v>
      </c>
      <c r="G77" s="186">
        <f t="shared" si="11"/>
        <v>54.660000000000004</v>
      </c>
      <c r="H77" s="157">
        <f>MAX('8...Loader'!G29,'9...Trucks'!I29)</f>
        <v>873.64329621053162</v>
      </c>
      <c r="I77" s="164">
        <f t="shared" si="12"/>
        <v>1391412.3639261844</v>
      </c>
      <c r="J77" s="164">
        <f>'8...Loader'!C29</f>
        <v>1240000</v>
      </c>
      <c r="K77" s="97" t="s">
        <v>416</v>
      </c>
      <c r="L77" s="191">
        <f>IF(J77=0,"---",I77/J77)</f>
        <v>1.1221067451017617</v>
      </c>
    </row>
    <row r="78" spans="1:12" x14ac:dyDescent="0.2">
      <c r="A78" s="103"/>
      <c r="B78" s="165" t="str">
        <f>'3...Material'!G38</f>
        <v>PC2000 + .5 D8 + .5 854</v>
      </c>
      <c r="C78" s="164" t="str">
        <f>'8...Loader'!A30</f>
        <v>Load waste material on trucks</v>
      </c>
      <c r="D78" s="164" t="str">
        <f>'4...Earthwrk'!C38</f>
        <v>Spring Gulch RP</v>
      </c>
      <c r="E78" s="164" t="str">
        <f>'4...Earthwrk'!D38</f>
        <v>Blind Gulch RP</v>
      </c>
      <c r="F78" s="186">
        <f>$D$167+0.5*$D$177+0.5*$D$173</f>
        <v>676.68</v>
      </c>
      <c r="G78" s="186">
        <f t="shared" si="11"/>
        <v>54.660000000000004</v>
      </c>
      <c r="H78" s="157">
        <f>MAX('8...Loader'!G30,'9...Trucks'!I30)</f>
        <v>1051.5076257061519</v>
      </c>
      <c r="I78" s="164">
        <f t="shared" si="12"/>
        <v>769009.58698393707</v>
      </c>
      <c r="J78" s="164">
        <f>'8...Loader'!C30</f>
        <v>750000</v>
      </c>
      <c r="K78" s="97" t="s">
        <v>416</v>
      </c>
      <c r="L78" s="191">
        <f t="shared" si="14"/>
        <v>1.0253461159785828</v>
      </c>
    </row>
    <row r="79" spans="1:12" x14ac:dyDescent="0.2">
      <c r="A79" s="103"/>
      <c r="B79" s="165" t="str">
        <f>'3...Material'!G39</f>
        <v>PC2000 + .5 D8 + .5 854</v>
      </c>
      <c r="C79" s="164" t="str">
        <f>'8...Loader'!A31</f>
        <v>Load waste material on trucks</v>
      </c>
      <c r="D79" s="164" t="str">
        <f>'4...Earthwrk'!C39</f>
        <v>Spring Gulch RP</v>
      </c>
      <c r="E79" s="164" t="str">
        <f>'4...Earthwrk'!D39</f>
        <v>Pit Repository</v>
      </c>
      <c r="F79" s="186">
        <f>$D$167+0.5*$D$177+0.5*$D$173</f>
        <v>676.68</v>
      </c>
      <c r="G79" s="186">
        <f t="shared" si="11"/>
        <v>54.660000000000004</v>
      </c>
      <c r="H79" s="157">
        <f>MAX('8...Loader'!G31,'9...Trucks'!I31)</f>
        <v>6775.7422894818346</v>
      </c>
      <c r="I79" s="164">
        <f t="shared" si="12"/>
        <v>4955371.3659896441</v>
      </c>
      <c r="J79" s="164">
        <f>'8...Loader'!C31</f>
        <v>4900000</v>
      </c>
      <c r="K79" s="97" t="s">
        <v>416</v>
      </c>
      <c r="L79" s="191">
        <f>IF(J79=0,"---",I79/J79)</f>
        <v>1.0113002787733967</v>
      </c>
    </row>
    <row r="80" spans="1:12" x14ac:dyDescent="0.2">
      <c r="A80" s="103"/>
      <c r="B80" s="165" t="str">
        <f>'3...Material'!G40</f>
        <v>PC2000 + .5 D8 + .5 854</v>
      </c>
      <c r="C80" s="164" t="str">
        <f>'8...Loader'!A32</f>
        <v>Load waste material on trucks</v>
      </c>
      <c r="D80" s="164" t="str">
        <f>'4...Earthwrk'!C40</f>
        <v>Blind Gulch RP</v>
      </c>
      <c r="E80" s="164" t="str">
        <f>'4...Earthwrk'!D40</f>
        <v>Blind Gulch RP</v>
      </c>
      <c r="F80" s="186">
        <f>$D$167+0.5*$D$177+0.5*$D$173</f>
        <v>676.68</v>
      </c>
      <c r="G80" s="186">
        <f t="shared" si="11"/>
        <v>54.660000000000004</v>
      </c>
      <c r="H80" s="157">
        <f>MAX('8...Loader'!G32,'9...Trucks'!I32)</f>
        <v>3465.178561551395</v>
      </c>
      <c r="I80" s="164">
        <f t="shared" si="12"/>
        <v>2534223.6892049969</v>
      </c>
      <c r="J80" s="164">
        <f>'8...Loader'!C32</f>
        <v>2269500</v>
      </c>
      <c r="K80" s="97" t="s">
        <v>416</v>
      </c>
      <c r="L80" s="191">
        <f t="shared" ref="L80:L107" si="15">IF(J80=0,"---",I80/J80)</f>
        <v>1.116644057812292</v>
      </c>
    </row>
    <row r="81" spans="1:12" x14ac:dyDescent="0.2">
      <c r="A81" s="103"/>
      <c r="B81" s="165" t="str">
        <f>'3...Material'!G41</f>
        <v>PC2000 + .5 D8 + .5 854</v>
      </c>
      <c r="C81" s="164" t="str">
        <f>'8...Loader'!A33</f>
        <v>Build Access Haul Road</v>
      </c>
      <c r="D81" s="164" t="str">
        <f>'4...Earthwrk'!C41</f>
        <v>Front RP</v>
      </c>
      <c r="E81" s="164" t="str">
        <f>'4...Earthwrk'!D41</f>
        <v>Front RP</v>
      </c>
      <c r="F81" s="186">
        <f>$D$167+0.5*$D$177+0.5*$D$173</f>
        <v>676.68</v>
      </c>
      <c r="G81" s="186">
        <f t="shared" si="11"/>
        <v>54.660000000000004</v>
      </c>
      <c r="H81" s="157">
        <f>MAX('8...Loader'!G33,'9...Trucks'!I33)</f>
        <v>2005.0665958670734</v>
      </c>
      <c r="I81" s="164">
        <f t="shared" si="12"/>
        <v>1466385.4042214253</v>
      </c>
      <c r="J81" s="164">
        <f>'8...Loader'!C33</f>
        <v>1450000</v>
      </c>
      <c r="K81" s="97" t="s">
        <v>416</v>
      </c>
      <c r="L81" s="191">
        <f t="shared" si="15"/>
        <v>1.0113002787733967</v>
      </c>
    </row>
    <row r="82" spans="1:12" x14ac:dyDescent="0.2">
      <c r="A82" s="103"/>
      <c r="B82" s="165" t="str">
        <f>'3...Material'!G42</f>
        <v>PC2000 + .5 D8 + .5 854</v>
      </c>
      <c r="C82" s="164" t="str">
        <f>'8...Loader'!A34</f>
        <v>Access Ramp Rehandle</v>
      </c>
      <c r="D82" s="164" t="str">
        <f>'4...Earthwrk'!C42</f>
        <v>Front RP</v>
      </c>
      <c r="E82" s="164" t="str">
        <f>'4...Earthwrk'!D42</f>
        <v>Pit Repository</v>
      </c>
      <c r="F82" s="186">
        <f>$D$167+0.5*$D$177+0.5*$D$173</f>
        <v>676.68</v>
      </c>
      <c r="G82" s="186">
        <f t="shared" si="11"/>
        <v>54.660000000000004</v>
      </c>
      <c r="H82" s="157">
        <f>MAX('8...Loader'!G34,'9...Trucks'!I34)</f>
        <v>1106.2436390990749</v>
      </c>
      <c r="I82" s="164">
        <f t="shared" si="12"/>
        <v>809040.22301871737</v>
      </c>
      <c r="J82" s="164">
        <f>'8...Loader'!C34</f>
        <v>800000</v>
      </c>
      <c r="K82" s="97" t="s">
        <v>416</v>
      </c>
      <c r="L82" s="191">
        <f t="shared" si="15"/>
        <v>1.0113002787733967</v>
      </c>
    </row>
    <row r="83" spans="1:12" x14ac:dyDescent="0.2">
      <c r="A83" s="103"/>
      <c r="B83" s="165" t="str">
        <f>'3...Material'!G43</f>
        <v>PC1250 + .5 D6 + .5 834</v>
      </c>
      <c r="C83" s="164" t="str">
        <f>'8...Loader'!A35</f>
        <v>Load waste material on trucks</v>
      </c>
      <c r="D83" s="164" t="str">
        <f>'4...Earthwrk'!C43</f>
        <v>Front RP Scars</v>
      </c>
      <c r="E83" s="164" t="str">
        <f>'4...Earthwrk'!D43</f>
        <v>Front RP</v>
      </c>
      <c r="F83" s="186">
        <f>$D$166+0.5*$D$172+0.5*$D$176</f>
        <v>486.71999999999997</v>
      </c>
      <c r="G83" s="186">
        <f t="shared" si="11"/>
        <v>54.660000000000004</v>
      </c>
      <c r="H83" s="157">
        <f>MAX('8...Loader'!G35,'9...Trucks'!I35)</f>
        <v>7045.1612903225814</v>
      </c>
      <c r="I83" s="164">
        <f t="shared" si="12"/>
        <v>3814109.4193548393</v>
      </c>
      <c r="J83" s="164">
        <f>'8...Loader'!C35</f>
        <v>2916000</v>
      </c>
      <c r="K83" s="97" t="s">
        <v>416</v>
      </c>
      <c r="L83" s="191">
        <f t="shared" si="15"/>
        <v>1.3079936280366389</v>
      </c>
    </row>
    <row r="84" spans="1:12" x14ac:dyDescent="0.2">
      <c r="A84" s="103"/>
      <c r="B84" s="165" t="str">
        <f>'3...Material'!G44</f>
        <v>PC1250 + .5 D6 + .5 834</v>
      </c>
      <c r="C84" s="164" t="str">
        <f>'8...Loader'!A36</f>
        <v>Load waste material on trucks</v>
      </c>
      <c r="D84" s="164" t="str">
        <f>'4...Earthwrk'!C44</f>
        <v>Sugar Shack West RP</v>
      </c>
      <c r="E84" s="164" t="str">
        <f>'4...Earthwrk'!D44</f>
        <v>Sugar Shack West RP</v>
      </c>
      <c r="F84" s="186">
        <f>$D$166+0.5*$D$172+0.5*$D$176</f>
        <v>486.71999999999997</v>
      </c>
      <c r="G84" s="186">
        <f t="shared" si="11"/>
        <v>54.660000000000004</v>
      </c>
      <c r="H84" s="157">
        <f>MAX('8...Loader'!G36,'9...Trucks'!I36)</f>
        <v>3751.9697331740335</v>
      </c>
      <c r="I84" s="164">
        <f t="shared" si="12"/>
        <v>2031241.3741457583</v>
      </c>
      <c r="J84" s="164">
        <f>'8...Loader'!C36</f>
        <v>1662564</v>
      </c>
      <c r="K84" s="97" t="s">
        <v>416</v>
      </c>
      <c r="L84" s="191">
        <f t="shared" si="15"/>
        <v>1.2217522899243327</v>
      </c>
    </row>
    <row r="85" spans="1:12" x14ac:dyDescent="0.2">
      <c r="A85" s="103"/>
      <c r="B85" s="165" t="str">
        <f>'3...Material'!G45</f>
        <v>PC1250 + .5 D6 + .5 834</v>
      </c>
      <c r="C85" s="164" t="str">
        <f>'8...Loader'!A37</f>
        <v>Load waste material on trucks</v>
      </c>
      <c r="D85" s="164" t="str">
        <f>'4...Earthwrk'!C45</f>
        <v>Goathill South RP</v>
      </c>
      <c r="E85" s="164" t="str">
        <f>'4...Earthwrk'!D45</f>
        <v>Sugar Shack West RP</v>
      </c>
      <c r="F85" s="186">
        <f>$D$166+0.5*$D$172+0.5*$D$176</f>
        <v>486.71999999999997</v>
      </c>
      <c r="G85" s="186">
        <f t="shared" si="11"/>
        <v>54.660000000000004</v>
      </c>
      <c r="H85" s="157">
        <f>MAX('8...Loader'!G37,'9...Trucks'!I37)</f>
        <v>1657.8245026328595</v>
      </c>
      <c r="I85" s="164">
        <f t="shared" si="12"/>
        <v>897513.02923537744</v>
      </c>
      <c r="J85" s="164">
        <f>'8...Loader'!C37</f>
        <v>295013</v>
      </c>
      <c r="K85" s="97" t="s">
        <v>416</v>
      </c>
      <c r="L85" s="191">
        <f t="shared" si="15"/>
        <v>3.0422829815478551</v>
      </c>
    </row>
    <row r="86" spans="1:12" x14ac:dyDescent="0.2">
      <c r="A86" s="103"/>
      <c r="B86" s="165" t="str">
        <f>'3...Material'!G46</f>
        <v>PC1250 + .5 D6 + .5 834</v>
      </c>
      <c r="C86" s="164" t="str">
        <f>'8...Loader'!A38</f>
        <v>Load waste material on trucks</v>
      </c>
      <c r="D86" s="164" t="str">
        <f>'4...Earthwrk'!C46</f>
        <v>Front RP</v>
      </c>
      <c r="E86" s="164" t="str">
        <f>'4...Earthwrk'!D46</f>
        <v>Sugar Shack West RP</v>
      </c>
      <c r="F86" s="186">
        <f>$D$166+0.5*$D$172+0.5*$D$176</f>
        <v>486.71999999999997</v>
      </c>
      <c r="G86" s="186">
        <f t="shared" si="11"/>
        <v>54.660000000000004</v>
      </c>
      <c r="H86" s="157">
        <f>MAX('8...Loader'!G38,'9...Trucks'!I38)</f>
        <v>246.24386034780295</v>
      </c>
      <c r="I86" s="164">
        <f t="shared" si="12"/>
        <v>133311.50111509356</v>
      </c>
      <c r="J86" s="164">
        <f>'8...Loader'!C38</f>
        <v>109115</v>
      </c>
      <c r="K86" s="97" t="s">
        <v>416</v>
      </c>
      <c r="L86" s="191">
        <f t="shared" si="15"/>
        <v>1.2217522899243327</v>
      </c>
    </row>
    <row r="87" spans="1:12" x14ac:dyDescent="0.2">
      <c r="A87" s="103"/>
      <c r="B87" s="165" t="str">
        <f>'3...Material'!G47</f>
        <v>PC1250 + .5 D6 + .5 834</v>
      </c>
      <c r="C87" s="164" t="str">
        <f>'8...Loader'!A39</f>
        <v>Build Access Haul Road</v>
      </c>
      <c r="D87" s="164" t="str">
        <f>'4...Earthwrk'!C47</f>
        <v>Front RP</v>
      </c>
      <c r="E87" s="164" t="str">
        <f>'4...Earthwrk'!D47</f>
        <v>Front RP</v>
      </c>
      <c r="F87" s="186">
        <f>$D$166+0.5*$D$172+0.5*$D$176</f>
        <v>486.71999999999997</v>
      </c>
      <c r="G87" s="186">
        <f t="shared" si="11"/>
        <v>54.660000000000004</v>
      </c>
      <c r="H87" s="157">
        <f>MAX('8...Loader'!G39,'9...Trucks'!I39)</f>
        <v>683.6585689632285</v>
      </c>
      <c r="I87" s="164">
        <f t="shared" si="12"/>
        <v>370119.07606531266</v>
      </c>
      <c r="J87" s="164">
        <f>'8...Loader'!C39</f>
        <v>300000</v>
      </c>
      <c r="K87" s="97" t="s">
        <v>416</v>
      </c>
      <c r="L87" s="191">
        <f t="shared" si="15"/>
        <v>1.2337302535510422</v>
      </c>
    </row>
    <row r="88" spans="1:12" x14ac:dyDescent="0.2">
      <c r="A88" s="103"/>
      <c r="B88" s="165" t="str">
        <f>'3...Material'!G48</f>
        <v>PC1250</v>
      </c>
      <c r="C88" s="164" t="str">
        <f>'8...Loader'!A40</f>
        <v>Rehandle reject material</v>
      </c>
      <c r="D88" s="164" t="str">
        <f>'4...Earthwrk'!C48</f>
        <v>Spring Gulch RP</v>
      </c>
      <c r="E88" s="164" t="str">
        <f>'4...Earthwrk'!D48</f>
        <v>Pit Repository</v>
      </c>
      <c r="F88" s="186">
        <f>$D$166</f>
        <v>332.78</v>
      </c>
      <c r="G88" s="186">
        <f>$I$190</f>
        <v>28.370000000000005</v>
      </c>
      <c r="H88" s="157">
        <f>MAX('8...Loader'!G40,'9...Trucks'!I40)</f>
        <v>1089.0512117055325</v>
      </c>
      <c r="I88" s="164">
        <f t="shared" si="12"/>
        <v>393310.84510745306</v>
      </c>
      <c r="J88" s="164">
        <f>'8...Loader'!C40</f>
        <v>476351</v>
      </c>
      <c r="K88" s="97" t="s">
        <v>416</v>
      </c>
      <c r="L88" s="191">
        <f t="shared" si="15"/>
        <v>0.82567443987197053</v>
      </c>
    </row>
    <row r="89" spans="1:12" x14ac:dyDescent="0.2">
      <c r="A89" s="103"/>
      <c r="B89" s="165" t="str">
        <f>'3...Material'!G49</f>
        <v>PC1250 + D8</v>
      </c>
      <c r="C89" s="164" t="str">
        <f>'8...Loader'!A41</f>
        <v>Access Ramp Waste</v>
      </c>
      <c r="D89" s="164" t="str">
        <f>'4...Earthwrk'!C49</f>
        <v>Goathill South RP</v>
      </c>
      <c r="E89" s="164" t="str">
        <f>'4...Earthwrk'!D49</f>
        <v>Sugar Shack West RP</v>
      </c>
      <c r="F89" s="186">
        <f>$D$166+$D$177</f>
        <v>460.21999999999997</v>
      </c>
      <c r="G89" s="186">
        <f>$I$189+$I$190</f>
        <v>54.660000000000004</v>
      </c>
      <c r="H89" s="157">
        <f>MAX('8...Loader'!G41,'9...Trucks'!I41)</f>
        <v>177.36041417761848</v>
      </c>
      <c r="I89" s="164">
        <f t="shared" si="12"/>
        <v>91319.330051772209</v>
      </c>
      <c r="J89" s="164">
        <f>'8...Loader'!C41</f>
        <v>55669</v>
      </c>
      <c r="K89" s="97" t="s">
        <v>416</v>
      </c>
      <c r="L89" s="191">
        <f t="shared" si="15"/>
        <v>1.6403982477100758</v>
      </c>
    </row>
    <row r="90" spans="1:12" x14ac:dyDescent="0.2">
      <c r="A90" s="103"/>
      <c r="B90" s="165" t="str">
        <f>'3...Material'!G50</f>
        <v>PC1250 + D8</v>
      </c>
      <c r="C90" s="164" t="str">
        <f>'8...Loader'!A42</f>
        <v>Access Ramp Waste</v>
      </c>
      <c r="D90" s="164" t="str">
        <f>'4...Earthwrk'!C50</f>
        <v>Goathill South RP</v>
      </c>
      <c r="E90" s="164" t="str">
        <f>'4...Earthwrk'!D50</f>
        <v>Sugar Shack West RP</v>
      </c>
      <c r="F90" s="186">
        <f>$D$166+$D$177</f>
        <v>460.21999999999997</v>
      </c>
      <c r="G90" s="186">
        <f>$I$189+$I$190</f>
        <v>54.660000000000004</v>
      </c>
      <c r="H90" s="157">
        <f>MAX('8...Loader'!G42,'9...Trucks'!I42)</f>
        <v>183.20350457984867</v>
      </c>
      <c r="I90" s="164">
        <f t="shared" si="12"/>
        <v>94327.820438072478</v>
      </c>
      <c r="J90" s="164">
        <f>'8...Loader'!C42</f>
        <v>57503</v>
      </c>
      <c r="K90" s="97" t="s">
        <v>416</v>
      </c>
      <c r="L90" s="191">
        <f t="shared" si="15"/>
        <v>1.6403982477100756</v>
      </c>
    </row>
    <row r="91" spans="1:12" x14ac:dyDescent="0.2">
      <c r="A91" s="103"/>
      <c r="B91" s="165" t="str">
        <f>'3...Material'!G51</f>
        <v>CAT 345 + D8</v>
      </c>
      <c r="C91" s="164" t="str">
        <f>'8...Loader'!A43</f>
        <v>Load Cut Haul Road Construction</v>
      </c>
      <c r="D91" s="164" t="str">
        <f>'4...Earthwrk'!C51</f>
        <v>Spring Gulch - GHN HR</v>
      </c>
      <c r="E91" s="164" t="str">
        <f>'4...Earthwrk'!D51</f>
        <v>Spring Gulch - GHN HR</v>
      </c>
      <c r="F91" s="186">
        <f>$D$168+$D$177</f>
        <v>297.37</v>
      </c>
      <c r="G91" s="186">
        <f>$I$190+$I$189</f>
        <v>54.660000000000004</v>
      </c>
      <c r="H91" s="157">
        <f>MAX('8...Loader'!G43,'9...Trucks'!I43)</f>
        <v>83.876277711403148</v>
      </c>
      <c r="I91" s="164">
        <f t="shared" si="12"/>
        <v>29526.966042745251</v>
      </c>
      <c r="J91" s="164">
        <f>'8...Loader'!C43</f>
        <v>17232</v>
      </c>
      <c r="K91" s="97" t="s">
        <v>416</v>
      </c>
      <c r="L91" s="191">
        <f t="shared" si="15"/>
        <v>1.7134961723970086</v>
      </c>
    </row>
    <row r="92" spans="1:12" x14ac:dyDescent="0.2">
      <c r="A92" s="103"/>
      <c r="B92" s="165" t="str">
        <f>'3...Material'!G52</f>
        <v>CAT 345 + D8</v>
      </c>
      <c r="C92" s="164" t="str">
        <f>'8...Loader'!A44</f>
        <v>Load Cut Haul Road Construction</v>
      </c>
      <c r="D92" s="164" t="str">
        <f>'4...Earthwrk'!C52</f>
        <v>Spring Gulch - GHN HR</v>
      </c>
      <c r="E92" s="164" t="str">
        <f>'4...Earthwrk'!D52</f>
        <v>Spring Gulch - GHN HR</v>
      </c>
      <c r="F92" s="186">
        <f>$D$168+$D$177</f>
        <v>297.37</v>
      </c>
      <c r="G92" s="186">
        <f>$I$190+$I$189</f>
        <v>54.660000000000004</v>
      </c>
      <c r="H92" s="157">
        <f>MAX('8...Loader'!G44,'9...Trucks'!I44)</f>
        <v>233.19084915261735</v>
      </c>
      <c r="I92" s="164">
        <f t="shared" si="12"/>
        <v>82090.174627195898</v>
      </c>
      <c r="J92" s="164">
        <f>'8...Loader'!C44</f>
        <v>47908</v>
      </c>
      <c r="K92" s="97" t="s">
        <v>416</v>
      </c>
      <c r="L92" s="191">
        <f t="shared" si="15"/>
        <v>1.7134961723970088</v>
      </c>
    </row>
    <row r="93" spans="1:12" x14ac:dyDescent="0.2">
      <c r="A93" s="103"/>
      <c r="B93" s="165"/>
      <c r="C93" s="164"/>
      <c r="D93" s="164"/>
      <c r="E93" s="164"/>
      <c r="F93" s="186"/>
      <c r="G93" s="186"/>
      <c r="H93" s="157"/>
      <c r="I93" s="164"/>
      <c r="J93" s="164"/>
      <c r="K93" s="97"/>
      <c r="L93" s="191"/>
    </row>
    <row r="94" spans="1:12" x14ac:dyDescent="0.2">
      <c r="A94" s="103"/>
      <c r="B94" s="165"/>
      <c r="C94" s="164"/>
      <c r="D94" s="164"/>
      <c r="E94" s="164"/>
      <c r="F94" s="186"/>
      <c r="G94" s="186"/>
      <c r="H94" s="157"/>
      <c r="I94" s="164"/>
      <c r="J94" s="164"/>
      <c r="K94" s="97"/>
      <c r="L94" s="191"/>
    </row>
    <row r="95" spans="1:12" x14ac:dyDescent="0.2">
      <c r="A95" s="103"/>
      <c r="B95" s="165" t="str">
        <f>'3...Material'!G55</f>
        <v>PC2000 + .5 854</v>
      </c>
      <c r="C95" s="164" t="str">
        <f>'8...Loader'!A47</f>
        <v>Load cover material on trucks</v>
      </c>
      <c r="D95" s="164" t="str">
        <f>'4...Earthwrk'!C55</f>
        <v>Spring Gulch RP</v>
      </c>
      <c r="E95" s="164" t="str">
        <f>'4...Earthwrk'!D55</f>
        <v>Pit Repository</v>
      </c>
      <c r="F95" s="186">
        <f>$D$167+0.5*$D$173</f>
        <v>612.96</v>
      </c>
      <c r="G95" s="186">
        <f>0.5*$I$189+$I$190</f>
        <v>41.515000000000001</v>
      </c>
      <c r="H95" s="157">
        <f>MAX('8...Loader'!G47,'9...Trucks'!I47)</f>
        <v>890.50677021107117</v>
      </c>
      <c r="I95" s="164">
        <f t="shared" si="12"/>
        <v>582814.41843389079</v>
      </c>
      <c r="J95" s="164">
        <f>'8...Loader'!C47</f>
        <v>643986</v>
      </c>
      <c r="K95" s="97" t="s">
        <v>416</v>
      </c>
      <c r="L95" s="191">
        <f t="shared" si="15"/>
        <v>0.9050110071242089</v>
      </c>
    </row>
    <row r="96" spans="1:12" x14ac:dyDescent="0.2">
      <c r="A96" s="103"/>
      <c r="B96" s="165" t="str">
        <f>'3...Material'!G56</f>
        <v>PC2000 + .5 D8 + .5 854</v>
      </c>
      <c r="C96" s="164" t="str">
        <f>'8...Loader'!A48</f>
        <v>Load cover material on trucks</v>
      </c>
      <c r="D96" s="164" t="str">
        <f>'4...Earthwrk'!C56</f>
        <v>Spring Gulch RP</v>
      </c>
      <c r="E96" s="164" t="str">
        <f>'4...Earthwrk'!D56</f>
        <v>Blind Gulch/Sulphur RP Middle</v>
      </c>
      <c r="F96" s="186">
        <f>$D$167+0.5*$D$173+0.5*$D$177</f>
        <v>676.68000000000006</v>
      </c>
      <c r="G96" s="186">
        <f>$I$190+$I$189</f>
        <v>54.660000000000004</v>
      </c>
      <c r="H96" s="157">
        <f>MAX('8...Loader'!G48,'9...Trucks'!I48)</f>
        <v>949.66467383404984</v>
      </c>
      <c r="I96" s="164">
        <f t="shared" si="12"/>
        <v>694527.76256179402</v>
      </c>
      <c r="J96" s="164">
        <f>'8...Loader'!C48</f>
        <v>677963</v>
      </c>
      <c r="K96" s="97" t="s">
        <v>416</v>
      </c>
      <c r="L96" s="191">
        <f t="shared" si="15"/>
        <v>1.0244331365602459</v>
      </c>
    </row>
    <row r="97" spans="1:12" x14ac:dyDescent="0.2">
      <c r="A97" s="103"/>
      <c r="B97" s="165" t="str">
        <f>'3...Material'!G57</f>
        <v>PC2000 + .5 D8 + .5 854</v>
      </c>
      <c r="C97" s="164" t="str">
        <f>'8...Loader'!A49</f>
        <v>Load cover material on trucks</v>
      </c>
      <c r="D97" s="164" t="str">
        <f>'4...Earthwrk'!C57</f>
        <v>Spring Gulch RP</v>
      </c>
      <c r="E97" s="164" t="str">
        <f>'4...Earthwrk'!D57</f>
        <v>Blind Gulch/Sulphur RP Bottom</v>
      </c>
      <c r="F97" s="186">
        <f>$D$167+0.5*$D$173+0.5*$D$177</f>
        <v>676.68000000000006</v>
      </c>
      <c r="G97" s="186">
        <f>$I$190+$I$189</f>
        <v>54.660000000000004</v>
      </c>
      <c r="H97" s="157">
        <f>MAX('8...Loader'!G49,'9...Trucks'!I49)</f>
        <v>356.92736004788799</v>
      </c>
      <c r="I97" s="164">
        <f t="shared" si="12"/>
        <v>261035.25549742242</v>
      </c>
      <c r="J97" s="164">
        <f>'8...Loader'!C49</f>
        <v>256084</v>
      </c>
      <c r="K97" s="97" t="s">
        <v>416</v>
      </c>
      <c r="L97" s="191">
        <f t="shared" si="15"/>
        <v>1.0193344976547634</v>
      </c>
    </row>
    <row r="98" spans="1:12" x14ac:dyDescent="0.2">
      <c r="A98" s="103"/>
      <c r="B98" s="165" t="str">
        <f>'3...Material'!G58</f>
        <v>PC2000 + .5 D8 + .5 854</v>
      </c>
      <c r="C98" s="164" t="str">
        <f>'8...Loader'!A50</f>
        <v>Load cover material on trucks</v>
      </c>
      <c r="D98" s="164" t="str">
        <f>'4...Earthwrk'!C58</f>
        <v>Spring Gulch RP</v>
      </c>
      <c r="E98" s="164" t="str">
        <f>'4...Earthwrk'!D58</f>
        <v>Front RP</v>
      </c>
      <c r="F98" s="186">
        <f>$D$167+0.5*$D$173+0.5*$D$177</f>
        <v>676.68000000000006</v>
      </c>
      <c r="G98" s="186">
        <f>$I$190+$I$189</f>
        <v>54.660000000000004</v>
      </c>
      <c r="H98" s="157">
        <f>MAX('8...Loader'!G50,'9...Trucks'!I50)</f>
        <v>731.37973224738425</v>
      </c>
      <c r="I98" s="164">
        <f t="shared" si="12"/>
        <v>534887.253381802</v>
      </c>
      <c r="J98" s="164">
        <f>'8...Loader'!C50</f>
        <v>419503</v>
      </c>
      <c r="K98" s="97" t="s">
        <v>416</v>
      </c>
      <c r="L98" s="191">
        <f t="shared" si="15"/>
        <v>1.2750498885152239</v>
      </c>
    </row>
    <row r="99" spans="1:12" x14ac:dyDescent="0.2">
      <c r="A99" s="103"/>
      <c r="B99" s="165" t="str">
        <f>'3...Material'!G59</f>
        <v>PC1250 + .5 834</v>
      </c>
      <c r="C99" s="164" t="str">
        <f>'8...Loader'!A51</f>
        <v>Load cover material on trucks</v>
      </c>
      <c r="D99" s="164" t="str">
        <f>'4...Earthwrk'!C59</f>
        <v>Front RP</v>
      </c>
      <c r="E99" s="164" t="str">
        <f>'4...Earthwrk'!D59</f>
        <v>Sugar Shack West RP</v>
      </c>
      <c r="F99" s="186">
        <f>$D$166+0.5*$D$172</f>
        <v>445.60999999999996</v>
      </c>
      <c r="G99" s="186">
        <f>0.5*$I$189+$I$190</f>
        <v>41.515000000000001</v>
      </c>
      <c r="H99" s="157">
        <f>MAX('8...Loader'!G51,'9...Trucks'!I51)</f>
        <v>946.7079516792777</v>
      </c>
      <c r="I99" s="164">
        <f t="shared" si="12"/>
        <v>461165.11096176808</v>
      </c>
      <c r="J99" s="164">
        <f>'8...Loader'!C51</f>
        <v>419503</v>
      </c>
      <c r="K99" s="97" t="s">
        <v>416</v>
      </c>
      <c r="L99" s="191">
        <f t="shared" si="15"/>
        <v>1.0993130227001191</v>
      </c>
    </row>
    <row r="100" spans="1:12" x14ac:dyDescent="0.2">
      <c r="A100" s="103"/>
      <c r="B100" s="165" t="str">
        <f>'3...Material'!G60</f>
        <v>PC2000 + .5 854</v>
      </c>
      <c r="C100" s="164" t="str">
        <f>'8...Loader'!A52</f>
        <v>Load cover material on trucks</v>
      </c>
      <c r="D100" s="164" t="str">
        <f>'4...Earthwrk'!C60</f>
        <v>Spring Gulch RP</v>
      </c>
      <c r="E100" s="164" t="str">
        <f>'4...Earthwrk'!D60</f>
        <v>Front RP</v>
      </c>
      <c r="F100" s="186">
        <f>$D$167+0.5*$D$173+0.5*$D$177</f>
        <v>676.68000000000006</v>
      </c>
      <c r="G100" s="186">
        <f>$I$190+$I$189</f>
        <v>54.660000000000004</v>
      </c>
      <c r="H100" s="157">
        <f>MAX('8...Loader'!G52,'9...Trucks'!I52)</f>
        <v>23.03611750615535</v>
      </c>
      <c r="I100" s="164">
        <f t="shared" si="12"/>
        <v>16847.234176951653</v>
      </c>
      <c r="J100" s="164">
        <f>'8...Loader'!C52</f>
        <v>13213</v>
      </c>
      <c r="K100" s="97" t="s">
        <v>416</v>
      </c>
      <c r="L100" s="191">
        <f t="shared" si="15"/>
        <v>1.2750498885152239</v>
      </c>
    </row>
    <row r="101" spans="1:12" x14ac:dyDescent="0.2">
      <c r="A101" s="103"/>
      <c r="B101" s="165" t="str">
        <f>'3...Material'!G61</f>
        <v>PC1250 + .5 834</v>
      </c>
      <c r="C101" s="164" t="str">
        <f>'8...Loader'!A53</f>
        <v>Load cover material on trucks</v>
      </c>
      <c r="D101" s="164" t="str">
        <f>'4...Earthwrk'!C61</f>
        <v>Front RP</v>
      </c>
      <c r="E101" s="164" t="str">
        <f>'4...Earthwrk'!D61</f>
        <v>Goathill South RP</v>
      </c>
      <c r="F101" s="186">
        <f>$D$166+0.5*$D$172</f>
        <v>445.60999999999996</v>
      </c>
      <c r="G101" s="186">
        <f>0.5*$I$189+$I$190</f>
        <v>41.515000000000001</v>
      </c>
      <c r="H101" s="157">
        <f>MAX('8...Loader'!G53,'9...Trucks'!I53)</f>
        <v>29.818266294968801</v>
      </c>
      <c r="I101" s="164">
        <f t="shared" si="12"/>
        <v>14525.222968936676</v>
      </c>
      <c r="J101" s="164">
        <f>'8...Loader'!C53</f>
        <v>13213</v>
      </c>
      <c r="K101" s="97" t="s">
        <v>416</v>
      </c>
      <c r="L101" s="191">
        <f t="shared" si="15"/>
        <v>1.0993130227001193</v>
      </c>
    </row>
    <row r="102" spans="1:12" x14ac:dyDescent="0.2">
      <c r="A102" s="103"/>
      <c r="B102" s="165" t="str">
        <f>'3...Material'!G62</f>
        <v>PC1250 + .5 834</v>
      </c>
      <c r="C102" s="164" t="str">
        <f>'8...Loader'!A54</f>
        <v>Load cover material on trucks</v>
      </c>
      <c r="D102" s="164" t="str">
        <f>'4...Earthwrk'!C62</f>
        <v>Front RP</v>
      </c>
      <c r="E102" s="164" t="str">
        <f>'4...Earthwrk'!D62</f>
        <v>Front RP</v>
      </c>
      <c r="F102" s="186">
        <f>$D$166+0.5*$D$172</f>
        <v>445.60999999999996</v>
      </c>
      <c r="G102" s="186">
        <f>0.5*$I$189+$I$190</f>
        <v>41.515000000000001</v>
      </c>
      <c r="H102" s="157">
        <f>MAX('8...Loader'!G54,'9...Trucks'!I54)</f>
        <v>1736.4079384043539</v>
      </c>
      <c r="I102" s="164">
        <f t="shared" si="12"/>
        <v>845847.71699522075</v>
      </c>
      <c r="J102" s="164">
        <f>'8...Loader'!C54</f>
        <v>769433</v>
      </c>
      <c r="K102" s="97" t="s">
        <v>416</v>
      </c>
      <c r="L102" s="191">
        <f t="shared" si="15"/>
        <v>1.0993130227001191</v>
      </c>
    </row>
    <row r="103" spans="1:12" x14ac:dyDescent="0.2">
      <c r="A103" s="103"/>
      <c r="B103" s="165" t="str">
        <f>'3...Material'!G63</f>
        <v>PC1250 + .5 834</v>
      </c>
      <c r="C103" s="164" t="str">
        <f>'8...Loader'!A55</f>
        <v>Load cover material on trucks</v>
      </c>
      <c r="D103" s="164" t="str">
        <f>'4...Earthwrk'!C63</f>
        <v>Spring Gulch RP</v>
      </c>
      <c r="E103" s="164" t="str">
        <f>'4...Earthwrk'!D63</f>
        <v>Spring Gulch RP</v>
      </c>
      <c r="F103" s="186">
        <f>$D$166+0.5*$D$172</f>
        <v>445.60999999999996</v>
      </c>
      <c r="G103" s="186">
        <f>0.5*$I$189+$I$190</f>
        <v>41.515000000000001</v>
      </c>
      <c r="H103" s="157">
        <f>MAX('8...Loader'!G55,'9...Trucks'!I55)</f>
        <v>675.89048187972912</v>
      </c>
      <c r="I103" s="164">
        <f t="shared" si="12"/>
        <v>329243.150985663</v>
      </c>
      <c r="J103" s="164">
        <f>'8...Loader'!C55</f>
        <v>299499</v>
      </c>
      <c r="K103" s="97" t="s">
        <v>416</v>
      </c>
      <c r="L103" s="191">
        <f t="shared" si="15"/>
        <v>1.0993130227001191</v>
      </c>
    </row>
    <row r="104" spans="1:12" x14ac:dyDescent="0.2">
      <c r="A104" s="103"/>
      <c r="B104" s="165" t="str">
        <f>'3...Material'!G64</f>
        <v>PC2000 + .5 D8 + .5 854</v>
      </c>
      <c r="C104" s="164" t="str">
        <f>'8...Loader'!A56</f>
        <v>Load cover material on trucks</v>
      </c>
      <c r="D104" s="164" t="str">
        <f>'4...Earthwrk'!C64</f>
        <v>Spring Gulch RP</v>
      </c>
      <c r="E104" s="164" t="str">
        <f>'4...Earthwrk'!D64</f>
        <v>Front RP Long</v>
      </c>
      <c r="F104" s="186">
        <f>$D$167+0.5*$D$173+0.5*$D$177</f>
        <v>676.68000000000006</v>
      </c>
      <c r="G104" s="186">
        <f>$I$190+$I$189</f>
        <v>54.660000000000004</v>
      </c>
      <c r="H104" s="157">
        <f>MAX('8...Loader'!G56,'9...Trucks'!I56)</f>
        <v>302.31867288752022</v>
      </c>
      <c r="I104" s="164">
        <f t="shared" si="12"/>
        <v>221097.73822955904</v>
      </c>
      <c r="J104" s="164">
        <f>'8...Loader'!C56</f>
        <v>217318</v>
      </c>
      <c r="K104" s="97" t="s">
        <v>416</v>
      </c>
      <c r="L104" s="191">
        <f t="shared" si="15"/>
        <v>1.0173926606611465</v>
      </c>
    </row>
    <row r="105" spans="1:12" x14ac:dyDescent="0.2">
      <c r="A105" s="103"/>
      <c r="B105" s="165" t="str">
        <f>'3...Material'!G65</f>
        <v>PC2000 + .5 D8 + .5 854</v>
      </c>
      <c r="C105" s="164" t="str">
        <f>'8...Loader'!A57</f>
        <v>Load cover material on trucks</v>
      </c>
      <c r="D105" s="164" t="str">
        <f>'4...Earthwrk'!C65</f>
        <v>Spring Gulch RP</v>
      </c>
      <c r="E105" s="164" t="str">
        <f>'4...Earthwrk'!D65</f>
        <v>Front RP Middle</v>
      </c>
      <c r="F105" s="186">
        <f>$D$167+0.5*$D$173+0.5*$D$177</f>
        <v>676.68000000000006</v>
      </c>
      <c r="G105" s="186">
        <f>$I$190+$I$189</f>
        <v>54.660000000000004</v>
      </c>
      <c r="H105" s="157">
        <f>MAX('8...Loader'!G57,'9...Trucks'!I57)</f>
        <v>1006.3042059383157</v>
      </c>
      <c r="I105" s="164">
        <f t="shared" si="12"/>
        <v>735950.51797092787</v>
      </c>
      <c r="J105" s="164">
        <f>'8...Loader'!C57</f>
        <v>727727</v>
      </c>
      <c r="K105" s="97" t="s">
        <v>416</v>
      </c>
      <c r="L105" s="191">
        <f t="shared" si="15"/>
        <v>1.0113002787733969</v>
      </c>
    </row>
    <row r="106" spans="1:12" x14ac:dyDescent="0.2">
      <c r="A106" s="103"/>
      <c r="B106" s="165" t="str">
        <f>'3...Material'!G66</f>
        <v>PC2000 + .5 D8 + .5 854</v>
      </c>
      <c r="C106" s="164" t="str">
        <f>'8...Loader'!A58</f>
        <v>Load cover material on trucks</v>
      </c>
      <c r="D106" s="164" t="str">
        <f>'4...Earthwrk'!C66</f>
        <v>Spring Gulch RP</v>
      </c>
      <c r="E106" s="164" t="str">
        <f>'4...Earthwrk'!D66</f>
        <v>Front RP Short</v>
      </c>
      <c r="F106" s="186">
        <f>$D$167+0.5*$D$173+0.5*$D$177</f>
        <v>676.68000000000006</v>
      </c>
      <c r="G106" s="186">
        <f>$I$190+$I$189</f>
        <v>54.660000000000004</v>
      </c>
      <c r="H106" s="157">
        <f>MAX('8...Loader'!G58,'9...Trucks'!I58)</f>
        <v>1699.3354241338109</v>
      </c>
      <c r="I106" s="164">
        <f t="shared" si="12"/>
        <v>1242791.9690860212</v>
      </c>
      <c r="J106" s="164">
        <f>'8...Loader'!C58</f>
        <v>1228905</v>
      </c>
      <c r="K106" s="97" t="s">
        <v>416</v>
      </c>
      <c r="L106" s="191">
        <f t="shared" si="15"/>
        <v>1.0113002787733969</v>
      </c>
    </row>
    <row r="107" spans="1:12" x14ac:dyDescent="0.2">
      <c r="A107" s="103"/>
      <c r="B107" s="165" t="str">
        <f>'3...Material'!G67</f>
        <v>PC1250 + .5 834</v>
      </c>
      <c r="C107" s="164" t="str">
        <f>'8...Loader'!A59</f>
        <v>Load cover material on trucks</v>
      </c>
      <c r="D107" s="164" t="str">
        <f>'4...Earthwrk'!C67</f>
        <v>Spring Gulch RP</v>
      </c>
      <c r="E107" s="164" t="str">
        <f>'4...Earthwrk'!D67</f>
        <v>Blind Gulch/Sulphur RP</v>
      </c>
      <c r="F107" s="186">
        <f>$D$166+0.5*$D$172</f>
        <v>445.60999999999996</v>
      </c>
      <c r="G107" s="186">
        <f>0.5*$I$189+$I$190</f>
        <v>41.515000000000001</v>
      </c>
      <c r="H107" s="157">
        <f>MAX('8...Loader'!G59,'9...Trucks'!I59)</f>
        <v>630.33147484401957</v>
      </c>
      <c r="I107" s="164">
        <f t="shared" si="12"/>
        <v>307050.21968339302</v>
      </c>
      <c r="J107" s="164">
        <f>'8...Loader'!C59</f>
        <v>279311</v>
      </c>
      <c r="K107" s="97" t="s">
        <v>416</v>
      </c>
      <c r="L107" s="191">
        <f t="shared" si="15"/>
        <v>1.0993130227001193</v>
      </c>
    </row>
    <row r="108" spans="1:12" x14ac:dyDescent="0.2">
      <c r="A108" s="103"/>
      <c r="B108" s="165"/>
      <c r="C108" s="164"/>
      <c r="D108" s="34"/>
      <c r="E108" s="34"/>
      <c r="F108" s="186"/>
      <c r="G108" s="186"/>
      <c r="H108" s="189" t="s">
        <v>302</v>
      </c>
      <c r="I108" s="190">
        <f>SUM(I61:I107)</f>
        <v>57254182.888040736</v>
      </c>
      <c r="J108" s="164"/>
      <c r="K108" s="97"/>
      <c r="L108" s="191"/>
    </row>
    <row r="109" spans="1:12" x14ac:dyDescent="0.2">
      <c r="A109" s="103"/>
      <c r="B109" s="165"/>
      <c r="C109" s="164"/>
      <c r="D109" s="34"/>
      <c r="E109" s="34"/>
      <c r="F109" s="186"/>
      <c r="G109" s="186"/>
      <c r="H109" s="157"/>
      <c r="I109" s="164"/>
      <c r="J109" s="164"/>
      <c r="K109" s="97"/>
      <c r="L109" s="191"/>
    </row>
    <row r="110" spans="1:12" ht="15.75" x14ac:dyDescent="0.25">
      <c r="A110" s="41" t="s">
        <v>389</v>
      </c>
      <c r="B110" s="19"/>
      <c r="C110" s="34"/>
      <c r="D110" s="34"/>
      <c r="E110" s="34"/>
      <c r="F110" s="186"/>
      <c r="G110" s="186"/>
      <c r="H110" s="157"/>
      <c r="I110" s="164"/>
      <c r="J110" s="164"/>
      <c r="K110" s="97"/>
      <c r="L110" s="186"/>
    </row>
    <row r="111" spans="1:12" ht="15.75" x14ac:dyDescent="0.25">
      <c r="A111" s="41"/>
      <c r="B111" s="164">
        <f>'3...Material'!G70</f>
        <v>793</v>
      </c>
      <c r="C111" s="164" t="str">
        <f>'9...Trucks'!A13</f>
        <v>Haul waste material</v>
      </c>
      <c r="D111" s="150" t="str">
        <f>'9...Trucks'!B13</f>
        <v>Front RP 9350'</v>
      </c>
      <c r="E111" s="164" t="str">
        <f>'9...Trucks'!C13</f>
        <v>Pit Repository Ramp 8770' to 8520'</v>
      </c>
      <c r="F111" s="186">
        <f t="shared" ref="F111:F127" si="16">$D$180</f>
        <v>567.67999999999995</v>
      </c>
      <c r="G111" s="186">
        <f t="shared" ref="G111:G132" si="17">$I$193</f>
        <v>22.47</v>
      </c>
      <c r="H111" s="157">
        <f>MAX('8...Loader'!G13,'9...Trucks'!I13)*'9...Trucks'!G13</f>
        <v>9470.4681692861232</v>
      </c>
      <c r="I111" s="164">
        <f t="shared" ref="I111:I142" si="18">(F111+G111)*H111</f>
        <v>5588996.7901042057</v>
      </c>
      <c r="J111" s="164">
        <f>'9...Trucks'!E13</f>
        <v>2437000</v>
      </c>
      <c r="K111" s="97" t="s">
        <v>416</v>
      </c>
      <c r="L111" s="191">
        <f t="shared" ref="L111:L142" si="19">IF(J111=0,"---",I111/J111)</f>
        <v>2.2933921994682831</v>
      </c>
    </row>
    <row r="112" spans="1:12" ht="15.75" x14ac:dyDescent="0.25">
      <c r="A112" s="41"/>
      <c r="B112" s="164">
        <f>'3...Material'!G71</f>
        <v>793</v>
      </c>
      <c r="C112" s="164" t="str">
        <f>'9...Trucks'!A14</f>
        <v>Haul waste material</v>
      </c>
      <c r="D112" s="150" t="str">
        <f>'9...Trucks'!B14</f>
        <v>Front RP 8850' to 8950'</v>
      </c>
      <c r="E112" s="164" t="str">
        <f>'9...Trucks'!C14</f>
        <v>Pit Repository 8870 to 8900</v>
      </c>
      <c r="F112" s="186">
        <f t="shared" si="16"/>
        <v>567.67999999999995</v>
      </c>
      <c r="G112" s="186">
        <f t="shared" si="17"/>
        <v>22.47</v>
      </c>
      <c r="H112" s="157">
        <f>MAX('8...Loader'!G14,'9...Trucks'!I14)*'9...Trucks'!G14</f>
        <v>20277.760733416082</v>
      </c>
      <c r="I112" s="164">
        <f t="shared" si="18"/>
        <v>11966920.496825499</v>
      </c>
      <c r="J112" s="164">
        <f>'9...Trucks'!E14</f>
        <v>5218000</v>
      </c>
      <c r="K112" s="97" t="s">
        <v>416</v>
      </c>
      <c r="L112" s="191">
        <f t="shared" si="19"/>
        <v>2.2933921994682827</v>
      </c>
    </row>
    <row r="113" spans="1:12" ht="15.75" x14ac:dyDescent="0.25">
      <c r="A113" s="41"/>
      <c r="B113" s="164">
        <f>'3...Material'!G72</f>
        <v>793</v>
      </c>
      <c r="C113" s="164" t="str">
        <f>'9...Trucks'!A15</f>
        <v>Haul waste material</v>
      </c>
      <c r="D113" s="150" t="str">
        <f>'9...Trucks'!B15</f>
        <v>Front RP 8950' to 9050'</v>
      </c>
      <c r="E113" s="164" t="str">
        <f>'9...Trucks'!C15</f>
        <v>Pit Repository 8870 to 8900</v>
      </c>
      <c r="F113" s="186">
        <f t="shared" si="16"/>
        <v>567.67999999999995</v>
      </c>
      <c r="G113" s="186">
        <f t="shared" si="17"/>
        <v>22.47</v>
      </c>
      <c r="H113" s="157">
        <f>MAX('8...Loader'!G15,'9...Trucks'!I15)*'9...Trucks'!G15</f>
        <v>5238.4862914229352</v>
      </c>
      <c r="I113" s="164">
        <f t="shared" si="18"/>
        <v>3091492.6848832453</v>
      </c>
      <c r="J113" s="164">
        <f>'9...Trucks'!E15</f>
        <v>1348000</v>
      </c>
      <c r="K113" s="97" t="s">
        <v>416</v>
      </c>
      <c r="L113" s="191">
        <f t="shared" si="19"/>
        <v>2.2933921994682827</v>
      </c>
    </row>
    <row r="114" spans="1:12" ht="15.75" x14ac:dyDescent="0.25">
      <c r="A114" s="41"/>
      <c r="B114" s="164">
        <f>'3...Material'!G73</f>
        <v>793</v>
      </c>
      <c r="C114" s="164" t="str">
        <f>'9...Trucks'!A16</f>
        <v>Haul waste material</v>
      </c>
      <c r="D114" s="150" t="str">
        <f>'9...Trucks'!B16</f>
        <v>Front RP 8750 to 8850</v>
      </c>
      <c r="E114" s="164" t="str">
        <f>'9...Trucks'!C16</f>
        <v>Pit Repository 8770 to 8900</v>
      </c>
      <c r="F114" s="186">
        <f t="shared" si="16"/>
        <v>567.67999999999995</v>
      </c>
      <c r="G114" s="186">
        <f t="shared" si="17"/>
        <v>22.47</v>
      </c>
      <c r="H114" s="157">
        <f>MAX('8...Loader'!G16,'9...Trucks'!I16)*'9...Trucks'!G16</f>
        <v>14557.395881061066</v>
      </c>
      <c r="I114" s="164">
        <f t="shared" si="18"/>
        <v>8591047.1792081874</v>
      </c>
      <c r="J114" s="164">
        <f>'9...Trucks'!E16</f>
        <v>3746000</v>
      </c>
      <c r="K114" s="97" t="s">
        <v>416</v>
      </c>
      <c r="L114" s="191">
        <f t="shared" si="19"/>
        <v>2.2933921994682827</v>
      </c>
    </row>
    <row r="115" spans="1:12" ht="15.75" x14ac:dyDescent="0.25">
      <c r="A115" s="41"/>
      <c r="B115" s="164">
        <f>'3...Material'!G74</f>
        <v>793</v>
      </c>
      <c r="C115" s="164" t="str">
        <f>'9...Trucks'!A17</f>
        <v>Haul waste material</v>
      </c>
      <c r="D115" s="150" t="str">
        <f>'9...Trucks'!B17</f>
        <v>Front RP 8550 to 8650</v>
      </c>
      <c r="E115" s="164" t="str">
        <f>'9...Trucks'!C17</f>
        <v>Pit Repository 8900 to 9130</v>
      </c>
      <c r="F115" s="186">
        <f t="shared" si="16"/>
        <v>567.67999999999995</v>
      </c>
      <c r="G115" s="186">
        <f t="shared" si="17"/>
        <v>22.47</v>
      </c>
      <c r="H115" s="157">
        <f>MAX('8...Loader'!G17,'9...Trucks'!I17)*'9...Trucks'!G17</f>
        <v>1039.2588318719515</v>
      </c>
      <c r="I115" s="164">
        <f t="shared" si="18"/>
        <v>613318.59962923219</v>
      </c>
      <c r="J115" s="164">
        <f>'9...Trucks'!E17</f>
        <v>234000</v>
      </c>
      <c r="K115" s="97" t="s">
        <v>416</v>
      </c>
      <c r="L115" s="191">
        <f t="shared" si="19"/>
        <v>2.6210196565351804</v>
      </c>
    </row>
    <row r="116" spans="1:12" ht="15.75" x14ac:dyDescent="0.25">
      <c r="A116" s="41"/>
      <c r="B116" s="164">
        <f>'3...Material'!G75</f>
        <v>793</v>
      </c>
      <c r="C116" s="164" t="str">
        <f>'9...Trucks'!A18</f>
        <v>Haul waste material</v>
      </c>
      <c r="D116" s="150" t="str">
        <f>'9...Trucks'!B18</f>
        <v>Front RP 8450 to 8550</v>
      </c>
      <c r="E116" s="164" t="str">
        <f>'9...Trucks'!C18</f>
        <v>Pit Repository 8900 to 9130</v>
      </c>
      <c r="F116" s="186">
        <f t="shared" si="16"/>
        <v>567.67999999999995</v>
      </c>
      <c r="G116" s="186">
        <f t="shared" si="17"/>
        <v>22.47</v>
      </c>
      <c r="H116" s="157">
        <f>MAX('8...Loader'!G18,'9...Trucks'!I18)*'9...Trucks'!G18</f>
        <v>2322.8976690662412</v>
      </c>
      <c r="I116" s="164">
        <f t="shared" si="18"/>
        <v>1370858.0593994423</v>
      </c>
      <c r="J116" s="164">
        <f>'9...Trucks'!E18</f>
        <v>511000</v>
      </c>
      <c r="K116" s="97" t="s">
        <v>416</v>
      </c>
      <c r="L116" s="191">
        <f t="shared" si="19"/>
        <v>2.682696789431394</v>
      </c>
    </row>
    <row r="117" spans="1:12" ht="15.75" x14ac:dyDescent="0.25">
      <c r="A117" s="41"/>
      <c r="B117" s="164">
        <f>'3...Material'!G76</f>
        <v>793</v>
      </c>
      <c r="C117" s="164" t="str">
        <f>'9...Trucks'!A19</f>
        <v>Haul waste material</v>
      </c>
      <c r="D117" s="150" t="str">
        <f>'9...Trucks'!B19</f>
        <v>Front RP 9250 to 9350</v>
      </c>
      <c r="E117" s="164" t="str">
        <f>'9...Trucks'!C19</f>
        <v>Pit Repository Ramp 8770 to 8520</v>
      </c>
      <c r="F117" s="186">
        <f t="shared" si="16"/>
        <v>567.67999999999995</v>
      </c>
      <c r="G117" s="186">
        <f t="shared" si="17"/>
        <v>22.47</v>
      </c>
      <c r="H117" s="157">
        <f>MAX('8...Loader'!G19,'9...Trucks'!I19)*'9...Trucks'!G19</f>
        <v>3156.0387471433405</v>
      </c>
      <c r="I117" s="164">
        <f t="shared" si="18"/>
        <v>1862536.2666266423</v>
      </c>
      <c r="J117" s="164">
        <f>'9...Trucks'!E19</f>
        <v>913000</v>
      </c>
      <c r="K117" s="97" t="s">
        <v>416</v>
      </c>
      <c r="L117" s="191">
        <f t="shared" si="19"/>
        <v>2.0400178166775929</v>
      </c>
    </row>
    <row r="118" spans="1:12" x14ac:dyDescent="0.2">
      <c r="A118" s="103"/>
      <c r="B118" s="164">
        <f>'3...Material'!G77</f>
        <v>793</v>
      </c>
      <c r="C118" s="164" t="str">
        <f>'9...Trucks'!A20</f>
        <v>Haul waste material</v>
      </c>
      <c r="D118" s="150" t="str">
        <f>'9...Trucks'!B20</f>
        <v>Front RP 9250 to 9350</v>
      </c>
      <c r="E118" s="164" t="str">
        <f>'9...Trucks'!C20</f>
        <v>Pit Repository 8520 to 8650</v>
      </c>
      <c r="F118" s="186">
        <f t="shared" si="16"/>
        <v>567.67999999999995</v>
      </c>
      <c r="G118" s="186">
        <f t="shared" si="17"/>
        <v>22.47</v>
      </c>
      <c r="H118" s="157">
        <f>MAX('8...Loader'!G20,'9...Trucks'!I20)*'9...Trucks'!G20</f>
        <v>6731.8657026064557</v>
      </c>
      <c r="I118" s="164">
        <f t="shared" si="18"/>
        <v>3972810.5443931995</v>
      </c>
      <c r="J118" s="164">
        <f>'9...Trucks'!E20</f>
        <v>2021000</v>
      </c>
      <c r="K118" s="97" t="s">
        <v>416</v>
      </c>
      <c r="L118" s="191">
        <f t="shared" si="19"/>
        <v>1.9657647424013851</v>
      </c>
    </row>
    <row r="119" spans="1:12" x14ac:dyDescent="0.2">
      <c r="A119" s="103"/>
      <c r="B119" s="164">
        <f>'3...Material'!G78</f>
        <v>793</v>
      </c>
      <c r="C119" s="164" t="str">
        <f>'9...Trucks'!A21</f>
        <v>Haul waste material</v>
      </c>
      <c r="D119" s="150" t="str">
        <f>'9...Trucks'!B21</f>
        <v>Front RP 9050 to 9150</v>
      </c>
      <c r="E119" s="164" t="str">
        <f>'9...Trucks'!C21</f>
        <v>Pit Repository 8650 to 8770</v>
      </c>
      <c r="F119" s="186">
        <f t="shared" si="16"/>
        <v>567.67999999999995</v>
      </c>
      <c r="G119" s="186">
        <f t="shared" si="17"/>
        <v>22.47</v>
      </c>
      <c r="H119" s="157">
        <f>MAX('8...Loader'!G21,'9...Trucks'!I21)*'9...Trucks'!G21</f>
        <v>15568.896731312505</v>
      </c>
      <c r="I119" s="164">
        <f t="shared" si="18"/>
        <v>9187984.4059840739</v>
      </c>
      <c r="J119" s="164">
        <f>'9...Trucks'!E21</f>
        <v>4674000</v>
      </c>
      <c r="K119" s="97" t="s">
        <v>416</v>
      </c>
      <c r="L119" s="191">
        <f t="shared" si="19"/>
        <v>1.9657647424013851</v>
      </c>
    </row>
    <row r="120" spans="1:12" x14ac:dyDescent="0.2">
      <c r="A120" s="103"/>
      <c r="B120" s="164">
        <f>'3...Material'!G79</f>
        <v>793</v>
      </c>
      <c r="C120" s="164" t="str">
        <f>'9...Trucks'!A22</f>
        <v>Haul waste material</v>
      </c>
      <c r="D120" s="150" t="str">
        <f>'9...Trucks'!B22</f>
        <v>Front RP 8950 to 9050</v>
      </c>
      <c r="E120" s="164" t="str">
        <f>'9...Trucks'!C22</f>
        <v>Pit Repository 8650 to 8770</v>
      </c>
      <c r="F120" s="186">
        <f t="shared" si="16"/>
        <v>567.67999999999995</v>
      </c>
      <c r="G120" s="186">
        <f t="shared" si="17"/>
        <v>22.47</v>
      </c>
      <c r="H120" s="157">
        <f>MAX('8...Loader'!G22,'9...Trucks'!I22)*'9...Trucks'!G22</f>
        <v>13203.916697244924</v>
      </c>
      <c r="I120" s="164">
        <f t="shared" si="18"/>
        <v>7792291.4388790913</v>
      </c>
      <c r="J120" s="164">
        <f>'9...Trucks'!E22</f>
        <v>3964000</v>
      </c>
      <c r="K120" s="97" t="s">
        <v>416</v>
      </c>
      <c r="L120" s="191">
        <f t="shared" si="19"/>
        <v>1.9657647424013853</v>
      </c>
    </row>
    <row r="121" spans="1:12" x14ac:dyDescent="0.2">
      <c r="A121" s="103"/>
      <c r="B121" s="164">
        <f>'3...Material'!G80</f>
        <v>793</v>
      </c>
      <c r="C121" s="164" t="str">
        <f>'9...Trucks'!A23</f>
        <v>Haul waste material</v>
      </c>
      <c r="D121" s="150" t="str">
        <f>'9...Trucks'!B23</f>
        <v>Front RP 8650 to 8750</v>
      </c>
      <c r="E121" s="164" t="str">
        <f>'9...Trucks'!C23</f>
        <v>Blind Gulch Bottom</v>
      </c>
      <c r="F121" s="186">
        <f t="shared" si="16"/>
        <v>567.67999999999995</v>
      </c>
      <c r="G121" s="186">
        <f t="shared" si="17"/>
        <v>22.47</v>
      </c>
      <c r="H121" s="157">
        <f>MAX('8...Loader'!G23,'9...Trucks'!I23)*'9...Trucks'!G23</f>
        <v>5536.0518543948192</v>
      </c>
      <c r="I121" s="164">
        <f t="shared" si="18"/>
        <v>3267101.0018711025</v>
      </c>
      <c r="J121" s="164">
        <f>'9...Trucks'!E23</f>
        <v>1662000</v>
      </c>
      <c r="K121" s="97" t="s">
        <v>416</v>
      </c>
      <c r="L121" s="191">
        <f t="shared" si="19"/>
        <v>1.9657647424013853</v>
      </c>
    </row>
    <row r="122" spans="1:12" x14ac:dyDescent="0.2">
      <c r="A122" s="103"/>
      <c r="B122" s="164">
        <f>'3...Material'!G81</f>
        <v>793</v>
      </c>
      <c r="C122" s="164" t="str">
        <f>'9...Trucks'!A24</f>
        <v>Haul waste material</v>
      </c>
      <c r="D122" s="150" t="str">
        <f>'9...Trucks'!B24</f>
        <v>Front RP 9150 to 9250</v>
      </c>
      <c r="E122" s="164" t="str">
        <f>'9...Trucks'!C24</f>
        <v>Pit Repository 8520 to 8650</v>
      </c>
      <c r="F122" s="186">
        <f t="shared" si="16"/>
        <v>567.67999999999995</v>
      </c>
      <c r="G122" s="186">
        <f t="shared" si="17"/>
        <v>22.47</v>
      </c>
      <c r="H122" s="157">
        <f>MAX('8...Loader'!G24,'9...Trucks'!I24)*'9...Trucks'!G24</f>
        <v>14473.011616934709</v>
      </c>
      <c r="I122" s="164">
        <f t="shared" si="18"/>
        <v>8541247.8057340179</v>
      </c>
      <c r="J122" s="164">
        <f>'9...Trucks'!E24</f>
        <v>4345000</v>
      </c>
      <c r="K122" s="97" t="s">
        <v>416</v>
      </c>
      <c r="L122" s="191">
        <f t="shared" si="19"/>
        <v>1.9657647424013851</v>
      </c>
    </row>
    <row r="123" spans="1:12" x14ac:dyDescent="0.2">
      <c r="A123" s="103"/>
      <c r="B123" s="164">
        <f>'3...Material'!G82</f>
        <v>793</v>
      </c>
      <c r="C123" s="164" t="str">
        <f>'9...Trucks'!A25</f>
        <v>Haul waste material</v>
      </c>
      <c r="D123" s="150" t="str">
        <f>'9...Trucks'!B25</f>
        <v>Front RP 8550 to 8650</v>
      </c>
      <c r="E123" s="164" t="str">
        <f>'9...Trucks'!C25</f>
        <v>Blind Gulch Bottom</v>
      </c>
      <c r="F123" s="186">
        <f t="shared" si="16"/>
        <v>567.67999999999995</v>
      </c>
      <c r="G123" s="186">
        <f t="shared" si="17"/>
        <v>22.47</v>
      </c>
      <c r="H123" s="157">
        <f>MAX('8...Loader'!G25,'9...Trucks'!I25)*'9...Trucks'!G25</f>
        <v>6958.4410374199342</v>
      </c>
      <c r="I123" s="164">
        <f t="shared" si="18"/>
        <v>4106523.9782333742</v>
      </c>
      <c r="J123" s="164">
        <f>'9...Trucks'!E25</f>
        <v>2085000</v>
      </c>
      <c r="K123" s="97" t="s">
        <v>416</v>
      </c>
      <c r="L123" s="191">
        <f t="shared" si="19"/>
        <v>1.9695558648601315</v>
      </c>
    </row>
    <row r="124" spans="1:12" x14ac:dyDescent="0.2">
      <c r="A124" s="103"/>
      <c r="B124" s="164">
        <f>'3...Material'!G83</f>
        <v>793</v>
      </c>
      <c r="C124" s="164" t="str">
        <f>'9...Trucks'!A26</f>
        <v>Haul waste material</v>
      </c>
      <c r="D124" s="150" t="str">
        <f>'9...Trucks'!B26</f>
        <v>Front RP 9050 to 9150</v>
      </c>
      <c r="E124" s="164" t="str">
        <f>'9...Trucks'!C26</f>
        <v>Pit Repository 8520 to 8650</v>
      </c>
      <c r="F124" s="186">
        <f t="shared" si="16"/>
        <v>567.67999999999995</v>
      </c>
      <c r="G124" s="186">
        <f t="shared" si="17"/>
        <v>22.47</v>
      </c>
      <c r="H124" s="157">
        <f>MAX('8...Loader'!G26,'9...Trucks'!I26)*'9...Trucks'!G26</f>
        <v>489.23991675039588</v>
      </c>
      <c r="I124" s="164">
        <f t="shared" si="18"/>
        <v>288724.93687024614</v>
      </c>
      <c r="J124" s="164">
        <f>'9...Trucks'!E26</f>
        <v>163000</v>
      </c>
      <c r="K124" s="97" t="s">
        <v>416</v>
      </c>
      <c r="L124" s="191">
        <f t="shared" si="19"/>
        <v>1.7713186311058045</v>
      </c>
    </row>
    <row r="125" spans="1:12" x14ac:dyDescent="0.2">
      <c r="A125" s="103"/>
      <c r="B125" s="164">
        <f>'3...Material'!G84</f>
        <v>793</v>
      </c>
      <c r="C125" s="164" t="str">
        <f>'9...Trucks'!A27</f>
        <v>Haul waste material</v>
      </c>
      <c r="D125" s="150" t="str">
        <f>'9...Trucks'!B27</f>
        <v>Front RP 8750 to 8850</v>
      </c>
      <c r="E125" s="164" t="str">
        <f>'9...Trucks'!C27</f>
        <v>Pit Repository 8650 to 8770</v>
      </c>
      <c r="F125" s="186">
        <f t="shared" si="16"/>
        <v>567.67999999999995</v>
      </c>
      <c r="G125" s="186">
        <f t="shared" si="17"/>
        <v>22.47</v>
      </c>
      <c r="H125" s="157">
        <f>MAX('8...Loader'!G27,'9...Trucks'!I27)*'9...Trucks'!G27</f>
        <v>1906.9733373291419</v>
      </c>
      <c r="I125" s="164">
        <f t="shared" si="18"/>
        <v>1125400.3150247931</v>
      </c>
      <c r="J125" s="164">
        <f>'9...Trucks'!E27</f>
        <v>687000</v>
      </c>
      <c r="K125" s="97" t="s">
        <v>416</v>
      </c>
      <c r="L125" s="191">
        <f t="shared" si="19"/>
        <v>1.6381372853344878</v>
      </c>
    </row>
    <row r="126" spans="1:12" x14ac:dyDescent="0.2">
      <c r="A126" s="103"/>
      <c r="B126" s="164">
        <f>'3...Material'!G85</f>
        <v>793</v>
      </c>
      <c r="C126" s="164" t="str">
        <f>'9...Trucks'!A28</f>
        <v>Haul waste material</v>
      </c>
      <c r="D126" s="150" t="str">
        <f>'9...Trucks'!B28</f>
        <v>Front RP 8650 to 8750</v>
      </c>
      <c r="E126" s="164" t="str">
        <f>'9...Trucks'!C28</f>
        <v>Pit Repository 8650 to 8770</v>
      </c>
      <c r="F126" s="186">
        <f t="shared" si="16"/>
        <v>567.67999999999995</v>
      </c>
      <c r="G126" s="186">
        <f t="shared" si="17"/>
        <v>22.47</v>
      </c>
      <c r="H126" s="157">
        <f>MAX('8...Loader'!G28,'9...Trucks'!I28)*'9...Trucks'!G28</f>
        <v>3197.7194826829282</v>
      </c>
      <c r="I126" s="164">
        <f t="shared" si="18"/>
        <v>1887134.1527053299</v>
      </c>
      <c r="J126" s="164">
        <f>'9...Trucks'!E28</f>
        <v>1152000</v>
      </c>
      <c r="K126" s="97" t="s">
        <v>416</v>
      </c>
      <c r="L126" s="191">
        <f t="shared" si="19"/>
        <v>1.6381372853344878</v>
      </c>
    </row>
    <row r="127" spans="1:12" x14ac:dyDescent="0.2">
      <c r="A127" s="103"/>
      <c r="B127" s="164">
        <f>'3...Material'!G86</f>
        <v>793</v>
      </c>
      <c r="C127" s="164" t="str">
        <f>'9...Trucks'!A29</f>
        <v>Haul waste material</v>
      </c>
      <c r="D127" s="150" t="str">
        <f>'9...Trucks'!B29</f>
        <v>Front RP 9350 and above</v>
      </c>
      <c r="E127" s="164" t="str">
        <f>'9...Trucks'!C29</f>
        <v>Pit Repository Top</v>
      </c>
      <c r="F127" s="186">
        <f t="shared" si="16"/>
        <v>567.67999999999995</v>
      </c>
      <c r="G127" s="186">
        <f t="shared" si="17"/>
        <v>22.47</v>
      </c>
      <c r="H127" s="157">
        <f>MAX('8...Loader'!G29,'9...Trucks'!I29)*'9...Trucks'!G29</f>
        <v>1747.2865924210632</v>
      </c>
      <c r="I127" s="164">
        <f t="shared" si="18"/>
        <v>1031161.1825172905</v>
      </c>
      <c r="J127" s="164">
        <f>'9...Trucks'!E29</f>
        <v>1240000</v>
      </c>
      <c r="K127" s="97" t="s">
        <v>416</v>
      </c>
      <c r="L127" s="191">
        <f t="shared" si="19"/>
        <v>0.83158159880426652</v>
      </c>
    </row>
    <row r="128" spans="1:12" x14ac:dyDescent="0.2">
      <c r="A128" s="103"/>
      <c r="B128" s="164">
        <f>'3...Material'!G87</f>
        <v>777</v>
      </c>
      <c r="C128" s="164" t="str">
        <f>'9...Trucks'!A30</f>
        <v>Haul waste material</v>
      </c>
      <c r="D128" s="150" t="str">
        <f>'9...Trucks'!B30</f>
        <v>Spring Gulch RP</v>
      </c>
      <c r="E128" s="164" t="str">
        <f>'9...Trucks'!C30</f>
        <v>Blind Gulch RP</v>
      </c>
      <c r="F128" s="186">
        <f>$D$179</f>
        <v>262.10000000000002</v>
      </c>
      <c r="G128" s="186">
        <f t="shared" si="17"/>
        <v>22.47</v>
      </c>
      <c r="H128" s="157">
        <f>MAX('8...Loader'!G30,'9...Trucks'!I30)*'9...Trucks'!G30</f>
        <v>4206.0305028246075</v>
      </c>
      <c r="I128" s="164">
        <f t="shared" si="18"/>
        <v>1196910.1001887987</v>
      </c>
      <c r="J128" s="164">
        <f>'9...Trucks'!E30</f>
        <v>750000</v>
      </c>
      <c r="K128" s="97" t="s">
        <v>416</v>
      </c>
      <c r="L128" s="191">
        <f t="shared" si="19"/>
        <v>1.595880133585065</v>
      </c>
    </row>
    <row r="129" spans="1:12" x14ac:dyDescent="0.2">
      <c r="A129" s="103"/>
      <c r="B129" s="164">
        <f>'3...Material'!G88</f>
        <v>777</v>
      </c>
      <c r="C129" s="164" t="str">
        <f>'9...Trucks'!A31</f>
        <v>Haul waste material</v>
      </c>
      <c r="D129" s="150" t="str">
        <f>'9...Trucks'!B31</f>
        <v>Spring Gulch RP</v>
      </c>
      <c r="E129" s="164" t="str">
        <f>'9...Trucks'!C31</f>
        <v>Pit Repository</v>
      </c>
      <c r="F129" s="186">
        <f>$D$179</f>
        <v>262.10000000000002</v>
      </c>
      <c r="G129" s="186">
        <f t="shared" si="17"/>
        <v>22.47</v>
      </c>
      <c r="H129" s="157">
        <f>MAX('8...Loader'!G31,'9...Trucks'!I31)*'9...Trucks'!G31</f>
        <v>60981.680605336514</v>
      </c>
      <c r="I129" s="164">
        <f t="shared" si="18"/>
        <v>17353556.849860616</v>
      </c>
      <c r="J129" s="164">
        <f>'9...Trucks'!E31</f>
        <v>4900000</v>
      </c>
      <c r="K129" s="97" t="s">
        <v>416</v>
      </c>
      <c r="L129" s="191">
        <f t="shared" si="19"/>
        <v>3.5415422142572686</v>
      </c>
    </row>
    <row r="130" spans="1:12" x14ac:dyDescent="0.2">
      <c r="A130" s="103"/>
      <c r="B130" s="164">
        <f>'3...Material'!G89</f>
        <v>777</v>
      </c>
      <c r="C130" s="164" t="str">
        <f>'9...Trucks'!A32</f>
        <v>Haul waste material</v>
      </c>
      <c r="D130" s="150" t="str">
        <f>'9...Trucks'!B32</f>
        <v>Blind Gulch RP</v>
      </c>
      <c r="E130" s="164" t="str">
        <f>'9...Trucks'!C32</f>
        <v>Blind Gulch RP</v>
      </c>
      <c r="F130" s="186">
        <f>$D$179</f>
        <v>262.10000000000002</v>
      </c>
      <c r="G130" s="186">
        <f t="shared" si="17"/>
        <v>22.47</v>
      </c>
      <c r="H130" s="157">
        <f>MAX('8...Loader'!G32,'9...Trucks'!I32)*'9...Trucks'!G32</f>
        <v>6930.35712310279</v>
      </c>
      <c r="I130" s="164">
        <f t="shared" si="18"/>
        <v>1972171.7265213614</v>
      </c>
      <c r="J130" s="164">
        <f>'9...Trucks'!E32</f>
        <v>2269500</v>
      </c>
      <c r="K130" s="97" t="s">
        <v>416</v>
      </c>
      <c r="L130" s="191">
        <f t="shared" si="19"/>
        <v>0.86898952479460734</v>
      </c>
    </row>
    <row r="131" spans="1:12" x14ac:dyDescent="0.2">
      <c r="A131" s="103"/>
      <c r="B131" s="164">
        <f>'3...Material'!G90</f>
        <v>777</v>
      </c>
      <c r="C131" s="164" t="str">
        <f>'9...Trucks'!A33</f>
        <v>Haul waste material</v>
      </c>
      <c r="D131" s="150" t="str">
        <f>'9...Trucks'!B33</f>
        <v>Front RP</v>
      </c>
      <c r="E131" s="164" t="str">
        <f>'9...Trucks'!C33</f>
        <v>Front RP</v>
      </c>
      <c r="F131" s="186">
        <f>$D$179</f>
        <v>262.10000000000002</v>
      </c>
      <c r="G131" s="186">
        <f t="shared" si="17"/>
        <v>22.47</v>
      </c>
      <c r="H131" s="157">
        <f>MAX('8...Loader'!G33,'9...Trucks'!I33)*'9...Trucks'!G33</f>
        <v>6015.1997876012201</v>
      </c>
      <c r="I131" s="164">
        <f t="shared" si="18"/>
        <v>1711745.4035576796</v>
      </c>
      <c r="J131" s="164">
        <f>'9...Trucks'!E33</f>
        <v>1450000</v>
      </c>
      <c r="K131" s="97" t="s">
        <v>416</v>
      </c>
      <c r="L131" s="191">
        <f t="shared" si="19"/>
        <v>1.1805140714190894</v>
      </c>
    </row>
    <row r="132" spans="1:12" x14ac:dyDescent="0.2">
      <c r="A132" s="103"/>
      <c r="B132" s="164">
        <f>'3...Material'!G91</f>
        <v>777</v>
      </c>
      <c r="C132" s="164" t="str">
        <f>'9...Trucks'!A34</f>
        <v>Haul waste material</v>
      </c>
      <c r="D132" s="150" t="str">
        <f>'9...Trucks'!B34</f>
        <v>Front RP</v>
      </c>
      <c r="E132" s="164" t="str">
        <f>'9...Trucks'!C34</f>
        <v>Pit Repository</v>
      </c>
      <c r="F132" s="186">
        <f>$D$179</f>
        <v>262.10000000000002</v>
      </c>
      <c r="G132" s="186">
        <f t="shared" si="17"/>
        <v>22.47</v>
      </c>
      <c r="H132" s="157">
        <f>MAX('8...Loader'!G34,'9...Trucks'!I34)*'9...Trucks'!G34</f>
        <v>7743.7054736935243</v>
      </c>
      <c r="I132" s="164">
        <f t="shared" si="18"/>
        <v>2203626.2666489664</v>
      </c>
      <c r="J132" s="164">
        <f>'9...Trucks'!E34</f>
        <v>800000</v>
      </c>
      <c r="K132" s="97" t="s">
        <v>416</v>
      </c>
      <c r="L132" s="191">
        <f t="shared" si="19"/>
        <v>2.7545328333112078</v>
      </c>
    </row>
    <row r="133" spans="1:12" x14ac:dyDescent="0.2">
      <c r="A133" s="103"/>
      <c r="B133" s="164">
        <f>'3...Material'!G92</f>
        <v>740</v>
      </c>
      <c r="C133" s="164" t="str">
        <f>'9...Trucks'!A35</f>
        <v>Haul waste material</v>
      </c>
      <c r="D133" s="150" t="str">
        <f>'9...Trucks'!B35</f>
        <v>Front RP Scars</v>
      </c>
      <c r="E133" s="164" t="str">
        <f>'9...Trucks'!C35</f>
        <v>Front RP</v>
      </c>
      <c r="F133" s="186">
        <f t="shared" ref="F133:F142" si="20">$D$171</f>
        <v>112.19</v>
      </c>
      <c r="G133" s="186">
        <f t="shared" ref="G133:G142" si="21">$I$192</f>
        <v>23.840000000000003</v>
      </c>
      <c r="H133" s="157">
        <f>MAX('8...Loader'!G35,'9...Trucks'!I35)*'9...Trucks'!G35</f>
        <v>28180.645161290326</v>
      </c>
      <c r="I133" s="164">
        <f t="shared" si="18"/>
        <v>3833413.1612903229</v>
      </c>
      <c r="J133" s="164">
        <f>'9...Trucks'!E35</f>
        <v>2916000</v>
      </c>
      <c r="K133" s="97" t="s">
        <v>416</v>
      </c>
      <c r="L133" s="191">
        <f t="shared" si="19"/>
        <v>1.3146135669719901</v>
      </c>
    </row>
    <row r="134" spans="1:12" x14ac:dyDescent="0.2">
      <c r="A134" s="103"/>
      <c r="B134" s="164">
        <f>'3...Material'!G93</f>
        <v>740</v>
      </c>
      <c r="C134" s="164" t="str">
        <f>'9...Trucks'!A36</f>
        <v>Haul waste material</v>
      </c>
      <c r="D134" s="150" t="str">
        <f>'9...Trucks'!B36</f>
        <v>Sugar Shack West RP</v>
      </c>
      <c r="E134" s="164" t="str">
        <f>'9...Trucks'!C36</f>
        <v>Sugar Shack West RP</v>
      </c>
      <c r="F134" s="186">
        <f t="shared" si="20"/>
        <v>112.19</v>
      </c>
      <c r="G134" s="186">
        <f t="shared" si="21"/>
        <v>23.840000000000003</v>
      </c>
      <c r="H134" s="157">
        <f>MAX('8...Loader'!G36,'9...Trucks'!I36)*'9...Trucks'!G36</f>
        <v>30015.757865392268</v>
      </c>
      <c r="I134" s="164">
        <f t="shared" si="18"/>
        <v>4083043.5424293103</v>
      </c>
      <c r="J134" s="164">
        <f>'9...Trucks'!E36</f>
        <v>1662564</v>
      </c>
      <c r="K134" s="97" t="s">
        <v>416</v>
      </c>
      <c r="L134" s="191">
        <f t="shared" si="19"/>
        <v>2.4558714987388819</v>
      </c>
    </row>
    <row r="135" spans="1:12" x14ac:dyDescent="0.2">
      <c r="A135" s="103"/>
      <c r="B135" s="164">
        <f>'3...Material'!G94</f>
        <v>740</v>
      </c>
      <c r="C135" s="164" t="str">
        <f>'9...Trucks'!A37</f>
        <v>Haul waste material</v>
      </c>
      <c r="D135" s="150" t="str">
        <f>'9...Trucks'!B37</f>
        <v>Goathill South RP</v>
      </c>
      <c r="E135" s="164" t="str">
        <f>'9...Trucks'!C37</f>
        <v>Sugar Shack West RP</v>
      </c>
      <c r="F135" s="186">
        <f t="shared" si="20"/>
        <v>112.19</v>
      </c>
      <c r="G135" s="186">
        <f t="shared" si="21"/>
        <v>23.840000000000003</v>
      </c>
      <c r="H135" s="157">
        <f>MAX('8...Loader'!G37,'9...Trucks'!I37)*'9...Trucks'!G37</f>
        <v>13262.596021062876</v>
      </c>
      <c r="I135" s="164">
        <f t="shared" si="18"/>
        <v>1804110.9367451831</v>
      </c>
      <c r="J135" s="164">
        <f>'9...Trucks'!E37</f>
        <v>295013</v>
      </c>
      <c r="K135" s="97" t="s">
        <v>416</v>
      </c>
      <c r="L135" s="191">
        <f t="shared" si="19"/>
        <v>6.1153608035753786</v>
      </c>
    </row>
    <row r="136" spans="1:12" x14ac:dyDescent="0.2">
      <c r="A136" s="103"/>
      <c r="B136" s="164">
        <f>'3...Material'!G95</f>
        <v>740</v>
      </c>
      <c r="C136" s="164" t="str">
        <f>'9...Trucks'!A38</f>
        <v>Haul waste material</v>
      </c>
      <c r="D136" s="150" t="str">
        <f>'9...Trucks'!B38</f>
        <v>Front RP</v>
      </c>
      <c r="E136" s="164" t="str">
        <f>'9...Trucks'!C38</f>
        <v>Sugar Shack West RP</v>
      </c>
      <c r="F136" s="186">
        <f t="shared" si="20"/>
        <v>112.19</v>
      </c>
      <c r="G136" s="186">
        <f t="shared" si="21"/>
        <v>23.840000000000003</v>
      </c>
      <c r="H136" s="157">
        <f>MAX('8...Loader'!G38,'9...Trucks'!I38)*'9...Trucks'!G38</f>
        <v>2216.1947431302265</v>
      </c>
      <c r="I136" s="164">
        <f t="shared" si="18"/>
        <v>301468.97090800473</v>
      </c>
      <c r="J136" s="164">
        <f>'9...Trucks'!E38</f>
        <v>109115</v>
      </c>
      <c r="K136" s="97" t="s">
        <v>416</v>
      </c>
      <c r="L136" s="191">
        <f t="shared" si="19"/>
        <v>2.7628554360812423</v>
      </c>
    </row>
    <row r="137" spans="1:12" x14ac:dyDescent="0.2">
      <c r="A137" s="103"/>
      <c r="B137" s="164">
        <f>'3...Material'!G96</f>
        <v>740</v>
      </c>
      <c r="C137" s="164" t="str">
        <f>'9...Trucks'!A39</f>
        <v>Build Access HR</v>
      </c>
      <c r="D137" s="150" t="str">
        <f>'9...Trucks'!B39</f>
        <v>Front RP</v>
      </c>
      <c r="E137" s="164" t="str">
        <f>'9...Trucks'!C39</f>
        <v>Front RP</v>
      </c>
      <c r="F137" s="186">
        <f t="shared" si="20"/>
        <v>112.19</v>
      </c>
      <c r="G137" s="186">
        <f t="shared" si="21"/>
        <v>23.840000000000003</v>
      </c>
      <c r="H137" s="157">
        <f>MAX('8...Loader'!G39,'9...Trucks'!I39)*'9...Trucks'!G39</f>
        <v>2050.9757068896856</v>
      </c>
      <c r="I137" s="164">
        <f t="shared" si="18"/>
        <v>278994.22540820396</v>
      </c>
      <c r="J137" s="164">
        <f>'9...Trucks'!E39</f>
        <v>300000</v>
      </c>
      <c r="K137" s="97" t="s">
        <v>416</v>
      </c>
      <c r="L137" s="191">
        <f t="shared" si="19"/>
        <v>0.92998075136067981</v>
      </c>
    </row>
    <row r="138" spans="1:12" x14ac:dyDescent="0.2">
      <c r="A138" s="103"/>
      <c r="B138" s="164">
        <f>'3...Material'!G97</f>
        <v>740</v>
      </c>
      <c r="C138" s="164" t="str">
        <f>'9...Trucks'!A40</f>
        <v>Haul Reject Material</v>
      </c>
      <c r="D138" s="150" t="str">
        <f>'9...Trucks'!B40</f>
        <v>Spring Gulch RP</v>
      </c>
      <c r="E138" s="164" t="str">
        <f>'9...Trucks'!C40</f>
        <v>Pit Repository</v>
      </c>
      <c r="F138" s="186">
        <f t="shared" si="20"/>
        <v>112.19</v>
      </c>
      <c r="G138" s="186">
        <f t="shared" si="21"/>
        <v>23.840000000000003</v>
      </c>
      <c r="H138" s="157">
        <f>MAX('8...Loader'!G40,'9...Trucks'!I40)*'9...Trucks'!G40</f>
        <v>3267.1536351165978</v>
      </c>
      <c r="I138" s="164">
        <f t="shared" si="18"/>
        <v>444430.90898491081</v>
      </c>
      <c r="J138" s="164">
        <f>'9...Trucks'!E40</f>
        <v>476351</v>
      </c>
      <c r="K138" s="97" t="s">
        <v>416</v>
      </c>
      <c r="L138" s="191">
        <f t="shared" si="19"/>
        <v>0.93299039780521253</v>
      </c>
    </row>
    <row r="139" spans="1:12" x14ac:dyDescent="0.2">
      <c r="A139" s="103"/>
      <c r="B139" s="164">
        <f>'3...Material'!G98</f>
        <v>740</v>
      </c>
      <c r="C139" s="164" t="str">
        <f>'9...Trucks'!A41</f>
        <v>Haul waste material</v>
      </c>
      <c r="D139" s="150" t="str">
        <f>'9...Trucks'!B41</f>
        <v>Goathill South RP</v>
      </c>
      <c r="E139" s="164" t="str">
        <f>'9...Trucks'!C41</f>
        <v>Sugar Shack West RP</v>
      </c>
      <c r="F139" s="186">
        <f t="shared" si="20"/>
        <v>112.19</v>
      </c>
      <c r="G139" s="186">
        <f t="shared" si="21"/>
        <v>23.840000000000003</v>
      </c>
      <c r="H139" s="157">
        <f>MAX('8...Loader'!G41,'9...Trucks'!I41)*'9...Trucks'!G41</f>
        <v>532.08124253285541</v>
      </c>
      <c r="I139" s="164">
        <f t="shared" si="18"/>
        <v>72379.011421744319</v>
      </c>
      <c r="J139" s="164">
        <f>'9...Trucks'!E41</f>
        <v>55669</v>
      </c>
      <c r="K139" s="97" t="s">
        <v>416</v>
      </c>
      <c r="L139" s="191">
        <f t="shared" si="19"/>
        <v>1.3001672640382316</v>
      </c>
    </row>
    <row r="140" spans="1:12" x14ac:dyDescent="0.2">
      <c r="A140" s="103"/>
      <c r="B140" s="164">
        <f>'3...Material'!G99</f>
        <v>740</v>
      </c>
      <c r="C140" s="164" t="str">
        <f>'9...Trucks'!A42</f>
        <v>Haul waste material</v>
      </c>
      <c r="D140" s="150" t="str">
        <f>'9...Trucks'!B42</f>
        <v>Goathill South RP</v>
      </c>
      <c r="E140" s="164" t="str">
        <f>'9...Trucks'!C42</f>
        <v>Sugar Shack West RP</v>
      </c>
      <c r="F140" s="186">
        <f t="shared" si="20"/>
        <v>112.19</v>
      </c>
      <c r="G140" s="186">
        <f t="shared" si="21"/>
        <v>23.840000000000003</v>
      </c>
      <c r="H140" s="157">
        <f>MAX('8...Loader'!G42,'9...Trucks'!I42)*'9...Trucks'!G42</f>
        <v>549.61051373954604</v>
      </c>
      <c r="I140" s="164">
        <f t="shared" si="18"/>
        <v>74763.518183990454</v>
      </c>
      <c r="J140" s="164">
        <f>'9...Trucks'!E42</f>
        <v>57503</v>
      </c>
      <c r="K140" s="97" t="s">
        <v>416</v>
      </c>
      <c r="L140" s="191">
        <f t="shared" si="19"/>
        <v>1.300167264038232</v>
      </c>
    </row>
    <row r="141" spans="1:12" x14ac:dyDescent="0.2">
      <c r="A141" s="103"/>
      <c r="B141" s="164">
        <f>'3...Material'!G100</f>
        <v>740</v>
      </c>
      <c r="C141" s="164" t="str">
        <f>'9...Trucks'!A43</f>
        <v>Haul Road Cut</v>
      </c>
      <c r="D141" s="150" t="str">
        <f>'9...Trucks'!B43</f>
        <v>Spring Gulch - GHN HR</v>
      </c>
      <c r="E141" s="164" t="str">
        <f>'9...Trucks'!C43</f>
        <v>Spring Gulch - GHN HR</v>
      </c>
      <c r="F141" s="186">
        <f t="shared" si="20"/>
        <v>112.19</v>
      </c>
      <c r="G141" s="186">
        <f t="shared" si="21"/>
        <v>23.840000000000003</v>
      </c>
      <c r="H141" s="157">
        <f>MAX('8...Loader'!G43,'9...Trucks'!I43)*'9...Trucks'!G43</f>
        <v>419.38138855701573</v>
      </c>
      <c r="I141" s="164">
        <f>(F141+G141)*H141</f>
        <v>57048.45028541085</v>
      </c>
      <c r="J141" s="164">
        <f>'9...Trucks'!E43</f>
        <v>17232</v>
      </c>
      <c r="K141" s="97" t="s">
        <v>416</v>
      </c>
      <c r="L141" s="191">
        <f t="shared" si="19"/>
        <v>3.3106110889862377</v>
      </c>
    </row>
    <row r="142" spans="1:12" x14ac:dyDescent="0.2">
      <c r="A142" s="103"/>
      <c r="B142" s="164">
        <f>'3...Material'!G101</f>
        <v>740</v>
      </c>
      <c r="C142" s="164" t="str">
        <f>'9...Trucks'!A44</f>
        <v>Haul Road Cut</v>
      </c>
      <c r="D142" s="150" t="str">
        <f>'9...Trucks'!B44</f>
        <v>Spring Gulch - GHN HR</v>
      </c>
      <c r="E142" s="164" t="str">
        <f>'9...Trucks'!C44</f>
        <v>Spring Gulch - GHN HR</v>
      </c>
      <c r="F142" s="186">
        <f t="shared" si="20"/>
        <v>112.19</v>
      </c>
      <c r="G142" s="186">
        <f t="shared" si="21"/>
        <v>23.840000000000003</v>
      </c>
      <c r="H142" s="157">
        <f>MAX('8...Loader'!G44,'9...Trucks'!I44)*'9...Trucks'!G44</f>
        <v>2098.7176423735559</v>
      </c>
      <c r="I142" s="164">
        <f t="shared" si="18"/>
        <v>285488.56089207483</v>
      </c>
      <c r="J142" s="164">
        <f>'9...Trucks'!E44</f>
        <v>47908</v>
      </c>
      <c r="K142" s="97" t="s">
        <v>416</v>
      </c>
      <c r="L142" s="191">
        <f t="shared" si="19"/>
        <v>5.9590999601752284</v>
      </c>
    </row>
    <row r="143" spans="1:12" x14ac:dyDescent="0.2">
      <c r="A143" s="103"/>
      <c r="B143" s="164"/>
      <c r="C143" s="164"/>
      <c r="D143" s="150"/>
      <c r="E143" s="164"/>
      <c r="F143" s="186"/>
      <c r="G143" s="186"/>
      <c r="H143" s="157"/>
      <c r="I143" s="164"/>
      <c r="J143" s="164"/>
      <c r="K143" s="97"/>
      <c r="L143" s="191"/>
    </row>
    <row r="144" spans="1:12" x14ac:dyDescent="0.2">
      <c r="A144" s="103"/>
      <c r="B144" s="164"/>
      <c r="C144" s="164"/>
      <c r="D144" s="150"/>
      <c r="E144" s="164"/>
      <c r="F144" s="186"/>
      <c r="G144" s="186"/>
      <c r="H144" s="157"/>
      <c r="I144" s="164"/>
      <c r="J144" s="164"/>
      <c r="K144" s="97"/>
      <c r="L144" s="191"/>
    </row>
    <row r="145" spans="1:12" x14ac:dyDescent="0.2">
      <c r="A145" s="103"/>
      <c r="B145" s="164">
        <f>'3...Material'!G104</f>
        <v>777</v>
      </c>
      <c r="C145" s="164" t="str">
        <f>'9...Trucks'!A47</f>
        <v>Haul cover material</v>
      </c>
      <c r="D145" s="150" t="str">
        <f>'9...Trucks'!B47</f>
        <v>Spring Gulch RP</v>
      </c>
      <c r="E145" s="164" t="str">
        <f>'9...Trucks'!C47</f>
        <v>Pit Repository</v>
      </c>
      <c r="F145" s="186">
        <f>$D$179</f>
        <v>262.10000000000002</v>
      </c>
      <c r="G145" s="186">
        <f>$I$193</f>
        <v>22.47</v>
      </c>
      <c r="H145" s="157">
        <f>MAX('8...Loader'!G47,'9...Trucks'!I47)*'9...Trucks'!G47</f>
        <v>4452.5338510553556</v>
      </c>
      <c r="I145" s="164">
        <f t="shared" ref="I145:I157" si="22">(F145+G145)*H145</f>
        <v>1267057.5579948227</v>
      </c>
      <c r="J145" s="164">
        <f>'9...Trucks'!E47</f>
        <v>643986</v>
      </c>
      <c r="K145" s="97" t="s">
        <v>416</v>
      </c>
      <c r="L145" s="191">
        <f t="shared" ref="L145:L157" si="23">IF(J145=0,"---",I145/J145)</f>
        <v>1.9675234523651488</v>
      </c>
    </row>
    <row r="146" spans="1:12" x14ac:dyDescent="0.2">
      <c r="A146" s="103"/>
      <c r="B146" s="164">
        <f>'3...Material'!G105</f>
        <v>777</v>
      </c>
      <c r="C146" s="164" t="str">
        <f>'9...Trucks'!A48</f>
        <v>Haul cover material</v>
      </c>
      <c r="D146" s="150" t="str">
        <f>'9...Trucks'!B48</f>
        <v>Spring Gulch RP</v>
      </c>
      <c r="E146" s="164" t="str">
        <f>'9...Trucks'!C48</f>
        <v>Blind Gulch/Sulphur RP Middle</v>
      </c>
      <c r="F146" s="186">
        <f>$D$179</f>
        <v>262.10000000000002</v>
      </c>
      <c r="G146" s="186">
        <f>$I$193</f>
        <v>22.47</v>
      </c>
      <c r="H146" s="157">
        <f>MAX('8...Loader'!G48,'9...Trucks'!I48)*'9...Trucks'!G48</f>
        <v>3798.6586953361993</v>
      </c>
      <c r="I146" s="164">
        <f t="shared" si="22"/>
        <v>1080984.3049318225</v>
      </c>
      <c r="J146" s="164">
        <f>'9...Trucks'!E48</f>
        <v>677963</v>
      </c>
      <c r="K146" s="97" t="s">
        <v>416</v>
      </c>
      <c r="L146" s="191">
        <f t="shared" si="23"/>
        <v>1.5944591444250238</v>
      </c>
    </row>
    <row r="147" spans="1:12" x14ac:dyDescent="0.2">
      <c r="A147" s="103"/>
      <c r="B147" s="164">
        <f>'3...Material'!G106</f>
        <v>777</v>
      </c>
      <c r="C147" s="164" t="str">
        <f>'9...Trucks'!A49</f>
        <v>Haul cover material</v>
      </c>
      <c r="D147" s="150" t="str">
        <f>'9...Trucks'!B49</f>
        <v>Spring Gulch RP</v>
      </c>
      <c r="E147" s="164" t="str">
        <f>'9...Trucks'!C49</f>
        <v>Blind Gulch/Sulphur RP Bottom</v>
      </c>
      <c r="F147" s="186">
        <f>$D$179</f>
        <v>262.10000000000002</v>
      </c>
      <c r="G147" s="186">
        <f>$I$193</f>
        <v>22.47</v>
      </c>
      <c r="H147" s="157">
        <f>MAX('8...Loader'!G49,'9...Trucks'!I49)*'9...Trucks'!G49</f>
        <v>1784.6368002394399</v>
      </c>
      <c r="I147" s="164">
        <f t="shared" si="22"/>
        <v>507854.09424413752</v>
      </c>
      <c r="J147" s="164">
        <f>'9...Trucks'!E49</f>
        <v>256084</v>
      </c>
      <c r="K147" s="97" t="s">
        <v>416</v>
      </c>
      <c r="L147" s="191">
        <f t="shared" si="23"/>
        <v>1.9831543331256054</v>
      </c>
    </row>
    <row r="148" spans="1:12" x14ac:dyDescent="0.2">
      <c r="A148" s="103"/>
      <c r="B148" s="164">
        <f>'3...Material'!G107</f>
        <v>777</v>
      </c>
      <c r="C148" s="164" t="str">
        <f>'9...Trucks'!A50</f>
        <v>Haul cover material</v>
      </c>
      <c r="D148" s="150" t="str">
        <f>'9...Trucks'!B50</f>
        <v>Spring Gulch RP</v>
      </c>
      <c r="E148" s="164" t="str">
        <f>'9...Trucks'!C50</f>
        <v>Front RP</v>
      </c>
      <c r="F148" s="186">
        <f>$D$179</f>
        <v>262.10000000000002</v>
      </c>
      <c r="G148" s="186">
        <f>$I$193</f>
        <v>22.47</v>
      </c>
      <c r="H148" s="157">
        <f>MAX('8...Loader'!G50,'9...Trucks'!I50)*'9...Trucks'!G50</f>
        <v>6582.4175902264578</v>
      </c>
      <c r="I148" s="164">
        <f t="shared" si="22"/>
        <v>1873158.5736507433</v>
      </c>
      <c r="J148" s="164">
        <f>'9...Trucks'!E50</f>
        <v>419503</v>
      </c>
      <c r="K148" s="97" t="s">
        <v>416</v>
      </c>
      <c r="L148" s="191">
        <f t="shared" si="23"/>
        <v>4.4651851682842398</v>
      </c>
    </row>
    <row r="149" spans="1:12" x14ac:dyDescent="0.2">
      <c r="A149" s="103"/>
      <c r="B149" s="164">
        <f>'3...Material'!G108</f>
        <v>740</v>
      </c>
      <c r="C149" s="164" t="str">
        <f>'9...Trucks'!A51</f>
        <v>Haul cover material</v>
      </c>
      <c r="D149" s="150" t="str">
        <f>'9...Trucks'!B51</f>
        <v>Front RP</v>
      </c>
      <c r="E149" s="164" t="str">
        <f>'9...Trucks'!C51</f>
        <v>Sugar Shack West RP</v>
      </c>
      <c r="F149" s="186">
        <f>$D$171</f>
        <v>112.19</v>
      </c>
      <c r="G149" s="186">
        <f>$I$192</f>
        <v>23.840000000000003</v>
      </c>
      <c r="H149" s="157">
        <f>MAX('8...Loader'!G51,'9...Trucks'!I51)*'9...Trucks'!G51</f>
        <v>7573.6636134342216</v>
      </c>
      <c r="I149" s="164">
        <f t="shared" si="22"/>
        <v>1030245.4613354572</v>
      </c>
      <c r="J149" s="164">
        <f>'9...Trucks'!E51</f>
        <v>419503</v>
      </c>
      <c r="K149" s="97" t="s">
        <v>416</v>
      </c>
      <c r="L149" s="191">
        <f t="shared" si="23"/>
        <v>2.4558714987388819</v>
      </c>
    </row>
    <row r="150" spans="1:12" x14ac:dyDescent="0.2">
      <c r="A150" s="103"/>
      <c r="B150" s="164">
        <f>'3...Material'!G109</f>
        <v>777</v>
      </c>
      <c r="C150" s="164" t="str">
        <f>'9...Trucks'!A52</f>
        <v>Haul cover material</v>
      </c>
      <c r="D150" s="150" t="str">
        <f>'9...Trucks'!B52</f>
        <v>Spring Gulch RP</v>
      </c>
      <c r="E150" s="164" t="str">
        <f>'9...Trucks'!C52</f>
        <v>Front RP</v>
      </c>
      <c r="F150" s="186">
        <f>$D$179</f>
        <v>262.10000000000002</v>
      </c>
      <c r="G150" s="186">
        <f>$I$193</f>
        <v>22.47</v>
      </c>
      <c r="H150" s="157">
        <f>MAX('8...Loader'!G52,'9...Trucks'!I52)*'9...Trucks'!G52</f>
        <v>207.32505755539813</v>
      </c>
      <c r="I150" s="164">
        <f t="shared" si="22"/>
        <v>58998.491628539654</v>
      </c>
      <c r="J150" s="164">
        <f>'9...Trucks'!E52</f>
        <v>13213</v>
      </c>
      <c r="K150" s="97" t="s">
        <v>416</v>
      </c>
      <c r="L150" s="191">
        <f t="shared" si="23"/>
        <v>4.4651851682842389</v>
      </c>
    </row>
    <row r="151" spans="1:12" x14ac:dyDescent="0.2">
      <c r="A151" s="103"/>
      <c r="B151" s="164">
        <f>'3...Material'!G110</f>
        <v>740</v>
      </c>
      <c r="C151" s="164" t="str">
        <f>'9...Trucks'!A53</f>
        <v>Haul cover material</v>
      </c>
      <c r="D151" s="150" t="str">
        <f>'9...Trucks'!B53</f>
        <v>Front RP</v>
      </c>
      <c r="E151" s="164" t="str">
        <f>'9...Trucks'!C53</f>
        <v>Goathill South RP</v>
      </c>
      <c r="F151" s="186">
        <f>$D$171</f>
        <v>112.19</v>
      </c>
      <c r="G151" s="186">
        <f>$I$192</f>
        <v>23.840000000000003</v>
      </c>
      <c r="H151" s="157">
        <f>MAX('8...Loader'!G53,'9...Trucks'!I53)*'9...Trucks'!G53</f>
        <v>208.72786406478161</v>
      </c>
      <c r="I151" s="164">
        <f t="shared" si="22"/>
        <v>28393.251348732243</v>
      </c>
      <c r="J151" s="164">
        <f>'9...Trucks'!E53</f>
        <v>13213</v>
      </c>
      <c r="K151" s="97" t="s">
        <v>416</v>
      </c>
      <c r="L151" s="191">
        <f t="shared" si="23"/>
        <v>2.1488875613965219</v>
      </c>
    </row>
    <row r="152" spans="1:12" x14ac:dyDescent="0.2">
      <c r="A152" s="103"/>
      <c r="B152" s="164">
        <f>'3...Material'!G111</f>
        <v>740</v>
      </c>
      <c r="C152" s="164" t="str">
        <f>'9...Trucks'!A54</f>
        <v>Haul cover material</v>
      </c>
      <c r="D152" s="150" t="str">
        <f>'9...Trucks'!B54</f>
        <v>Front RP</v>
      </c>
      <c r="E152" s="164" t="str">
        <f>'9...Trucks'!C54</f>
        <v>Front RP</v>
      </c>
      <c r="F152" s="186">
        <f>$D$171</f>
        <v>112.19</v>
      </c>
      <c r="G152" s="186">
        <f>$I$192</f>
        <v>23.840000000000003</v>
      </c>
      <c r="H152" s="157">
        <f>MAX('8...Loader'!G54,'9...Trucks'!I54)*'9...Trucks'!G54</f>
        <v>6945.6317536174156</v>
      </c>
      <c r="I152" s="164">
        <f t="shared" si="22"/>
        <v>944814.28744457709</v>
      </c>
      <c r="J152" s="164">
        <f>'9...Trucks'!E54</f>
        <v>769433</v>
      </c>
      <c r="K152" s="97" t="s">
        <v>416</v>
      </c>
      <c r="L152" s="191">
        <f t="shared" si="23"/>
        <v>1.2279357493694409</v>
      </c>
    </row>
    <row r="153" spans="1:12" x14ac:dyDescent="0.2">
      <c r="A153" s="103"/>
      <c r="B153" s="164">
        <f>'3...Material'!G112</f>
        <v>740</v>
      </c>
      <c r="C153" s="164" t="str">
        <f>'9...Trucks'!A55</f>
        <v>Haul cover material</v>
      </c>
      <c r="D153" s="150" t="str">
        <f>'9...Trucks'!B55</f>
        <v>Spring Gulch RP</v>
      </c>
      <c r="E153" s="164" t="str">
        <f>'9...Trucks'!C55</f>
        <v>Spring Gulch RP</v>
      </c>
      <c r="F153" s="186">
        <f>$D$171</f>
        <v>112.19</v>
      </c>
      <c r="G153" s="186">
        <f>$I$192</f>
        <v>23.840000000000003</v>
      </c>
      <c r="H153" s="157">
        <f>MAX('8...Loader'!G55,'9...Trucks'!I55)*'9...Trucks'!G55</f>
        <v>2703.5619275189165</v>
      </c>
      <c r="I153" s="164">
        <f t="shared" si="22"/>
        <v>367765.52900039824</v>
      </c>
      <c r="J153" s="164">
        <f>'9...Trucks'!E55</f>
        <v>299499</v>
      </c>
      <c r="K153" s="97" t="s">
        <v>416</v>
      </c>
      <c r="L153" s="191">
        <f t="shared" si="23"/>
        <v>1.2279357493694412</v>
      </c>
    </row>
    <row r="154" spans="1:12" x14ac:dyDescent="0.2">
      <c r="A154" s="103"/>
      <c r="B154" s="164">
        <f>'3...Material'!G113</f>
        <v>777</v>
      </c>
      <c r="C154" s="164" t="str">
        <f>'9...Trucks'!A56</f>
        <v>Haul cover material</v>
      </c>
      <c r="D154" s="150" t="str">
        <f>'9...Trucks'!B56</f>
        <v>Spring Gulch RP</v>
      </c>
      <c r="E154" s="164" t="str">
        <f>'9...Trucks'!C56</f>
        <v>Front RP Long</v>
      </c>
      <c r="F154" s="186">
        <f>$D$179</f>
        <v>262.10000000000002</v>
      </c>
      <c r="G154" s="186">
        <f>$I$193</f>
        <v>22.47</v>
      </c>
      <c r="H154" s="157">
        <f>MAX('8...Loader'!G56,'9...Trucks'!I56)*'9...Trucks'!G56</f>
        <v>2418.5493831001618</v>
      </c>
      <c r="I154" s="164">
        <f t="shared" si="22"/>
        <v>688246.59794881311</v>
      </c>
      <c r="J154" s="164">
        <f>'9...Trucks'!E56</f>
        <v>217318</v>
      </c>
      <c r="K154" s="97" t="s">
        <v>416</v>
      </c>
      <c r="L154" s="191">
        <f t="shared" si="23"/>
        <v>3.1670022637278694</v>
      </c>
    </row>
    <row r="155" spans="1:12" x14ac:dyDescent="0.2">
      <c r="A155" s="103"/>
      <c r="B155" s="164">
        <f>'3...Material'!G114</f>
        <v>777</v>
      </c>
      <c r="C155" s="164" t="str">
        <f>'9...Trucks'!A57</f>
        <v>Haul cover material</v>
      </c>
      <c r="D155" s="150" t="str">
        <f>'9...Trucks'!B57</f>
        <v>Spring Gulch RP</v>
      </c>
      <c r="E155" s="164" t="str">
        <f>'9...Trucks'!C57</f>
        <v>Front RP Middle</v>
      </c>
      <c r="F155" s="186">
        <f>$D$179</f>
        <v>262.10000000000002</v>
      </c>
      <c r="G155" s="186">
        <f>$I$193</f>
        <v>22.47</v>
      </c>
      <c r="H155" s="157">
        <f>MAX('8...Loader'!G57,'9...Trucks'!I57)*'9...Trucks'!G57</f>
        <v>7044.1294415682096</v>
      </c>
      <c r="I155" s="164">
        <f t="shared" si="22"/>
        <v>2004547.9151870657</v>
      </c>
      <c r="J155" s="164">
        <f>'9...Trucks'!E57</f>
        <v>727727</v>
      </c>
      <c r="K155" s="97" t="s">
        <v>416</v>
      </c>
      <c r="L155" s="191">
        <f t="shared" si="23"/>
        <v>2.7545328333112082</v>
      </c>
    </row>
    <row r="156" spans="1:12" x14ac:dyDescent="0.2">
      <c r="A156" s="103"/>
      <c r="B156" s="164">
        <f>'3...Material'!G115</f>
        <v>777</v>
      </c>
      <c r="C156" s="164" t="str">
        <f>'9...Trucks'!A58</f>
        <v>Haul cover material</v>
      </c>
      <c r="D156" s="150" t="str">
        <f>'9...Trucks'!B58</f>
        <v>Spring Gulch RP</v>
      </c>
      <c r="E156" s="164" t="str">
        <f>'9...Trucks'!C58</f>
        <v>Front RP Short</v>
      </c>
      <c r="F156" s="186">
        <f>$D$179</f>
        <v>262.10000000000002</v>
      </c>
      <c r="G156" s="186">
        <f>$I$193</f>
        <v>22.47</v>
      </c>
      <c r="H156" s="157">
        <f>MAX('8...Loader'!G58,'9...Trucks'!I58)*'9...Trucks'!G58</f>
        <v>8496.6771206690537</v>
      </c>
      <c r="I156" s="164">
        <f t="shared" si="22"/>
        <v>2417899.4082287932</v>
      </c>
      <c r="J156" s="164">
        <f>'9...Trucks'!E58</f>
        <v>1228905</v>
      </c>
      <c r="K156" s="97" t="s">
        <v>416</v>
      </c>
      <c r="L156" s="191">
        <f t="shared" si="23"/>
        <v>1.9675234523651488</v>
      </c>
    </row>
    <row r="157" spans="1:12" x14ac:dyDescent="0.2">
      <c r="A157" s="103"/>
      <c r="B157" s="164">
        <f>'3...Material'!G116</f>
        <v>740</v>
      </c>
      <c r="C157" s="164" t="str">
        <f>'9...Trucks'!A59</f>
        <v>Haul cover material</v>
      </c>
      <c r="D157" s="150" t="str">
        <f>'9...Trucks'!B59</f>
        <v>Spring Gulch RP</v>
      </c>
      <c r="E157" s="164" t="str">
        <f>'9...Trucks'!C59</f>
        <v>Blind Gulch/Sulphur RP</v>
      </c>
      <c r="F157" s="186">
        <f>$D$171</f>
        <v>112.19</v>
      </c>
      <c r="G157" s="186">
        <f>$I$192</f>
        <v>23.840000000000003</v>
      </c>
      <c r="H157" s="157">
        <f>MAX('8...Loader'!G59,'9...Trucks'!I59)*'9...Trucks'!G59</f>
        <v>5042.6517987521565</v>
      </c>
      <c r="I157" s="164">
        <f t="shared" si="22"/>
        <v>685951.92418425588</v>
      </c>
      <c r="J157" s="164">
        <f>'9...Trucks'!E59</f>
        <v>279311</v>
      </c>
      <c r="K157" s="97" t="s">
        <v>416</v>
      </c>
      <c r="L157" s="191">
        <f t="shared" si="23"/>
        <v>2.4558714987388819</v>
      </c>
    </row>
    <row r="158" spans="1:12" x14ac:dyDescent="0.2">
      <c r="A158" s="103"/>
      <c r="B158" s="164"/>
      <c r="C158" s="164"/>
      <c r="D158" s="96"/>
      <c r="E158" s="34"/>
      <c r="F158" s="186"/>
      <c r="G158" s="186"/>
      <c r="H158" s="189" t="s">
        <v>302</v>
      </c>
      <c r="I158" s="190">
        <f>SUM(I111:I157)</f>
        <v>122914618.8693437</v>
      </c>
      <c r="J158" s="164"/>
      <c r="K158" s="152"/>
      <c r="L158" s="187"/>
    </row>
    <row r="159" spans="1:12" x14ac:dyDescent="0.2">
      <c r="A159" s="152"/>
      <c r="B159" s="164"/>
      <c r="C159" s="164"/>
      <c r="D159" s="30"/>
      <c r="E159" s="30"/>
      <c r="F159" s="186"/>
      <c r="G159" s="186"/>
      <c r="H159" s="157"/>
      <c r="I159" s="194"/>
      <c r="J159" s="163"/>
      <c r="K159" s="152"/>
      <c r="L159" s="182"/>
    </row>
    <row r="160" spans="1:12" ht="15.75" x14ac:dyDescent="0.25">
      <c r="A160" s="152"/>
      <c r="B160" s="164"/>
      <c r="C160" s="164"/>
      <c r="D160" s="97"/>
      <c r="E160" s="97"/>
      <c r="F160" s="97"/>
      <c r="G160" s="99"/>
      <c r="H160" s="42" t="s">
        <v>780</v>
      </c>
      <c r="I160" s="43">
        <f>SUM(I158,I108,I58,I45,I21)</f>
        <v>217126918.64409465</v>
      </c>
      <c r="J160" s="96"/>
      <c r="K160" s="103"/>
      <c r="L160" s="103"/>
    </row>
    <row r="161" spans="1:12" ht="15.75" x14ac:dyDescent="0.25">
      <c r="A161" s="152"/>
      <c r="C161" s="164"/>
      <c r="D161" s="97"/>
      <c r="E161" s="97"/>
      <c r="F161" s="97"/>
      <c r="G161" s="99"/>
      <c r="H161" s="42"/>
      <c r="I161" s="43"/>
      <c r="J161" s="96"/>
      <c r="K161" s="103"/>
      <c r="L161" s="103"/>
    </row>
    <row r="162" spans="1:12" x14ac:dyDescent="0.2">
      <c r="A162" s="103"/>
      <c r="B162" s="96"/>
      <c r="C162" s="96"/>
      <c r="D162" s="46" t="s">
        <v>232</v>
      </c>
      <c r="E162" s="96"/>
      <c r="G162" s="96"/>
      <c r="H162" s="98"/>
      <c r="I162" s="98"/>
      <c r="J162" s="98"/>
      <c r="K162" s="103"/>
      <c r="L162" s="122"/>
    </row>
    <row r="163" spans="1:12" ht="15.75" x14ac:dyDescent="0.25">
      <c r="A163" s="103"/>
      <c r="B163" s="96"/>
      <c r="C163" s="19" t="s">
        <v>422</v>
      </c>
      <c r="D163" s="46" t="s">
        <v>407</v>
      </c>
      <c r="E163" s="28"/>
      <c r="G163" s="98"/>
      <c r="H163" s="98"/>
      <c r="I163" s="98"/>
      <c r="J163" s="98"/>
      <c r="K163" s="103"/>
      <c r="L163" s="122"/>
    </row>
    <row r="164" spans="1:12" x14ac:dyDescent="0.2">
      <c r="A164" s="103"/>
      <c r="B164" s="96"/>
      <c r="C164" s="96"/>
      <c r="D164" s="46" t="s">
        <v>411</v>
      </c>
      <c r="E164" s="180" t="s">
        <v>911</v>
      </c>
      <c r="G164" s="98"/>
      <c r="H164" s="98"/>
      <c r="I164" s="98"/>
      <c r="J164" s="98"/>
      <c r="K164" s="103"/>
      <c r="L164" s="122"/>
    </row>
    <row r="165" spans="1:12" x14ac:dyDescent="0.2">
      <c r="A165" s="103"/>
      <c r="B165" s="96"/>
      <c r="C165" s="360" t="s">
        <v>423</v>
      </c>
      <c r="D165" s="47" t="s">
        <v>413</v>
      </c>
      <c r="E165" s="96"/>
      <c r="G165" s="98"/>
      <c r="H165" s="98"/>
      <c r="I165" s="98"/>
      <c r="J165" s="98"/>
      <c r="K165" s="103"/>
      <c r="L165" s="122"/>
    </row>
    <row r="166" spans="1:12" x14ac:dyDescent="0.2">
      <c r="A166" s="103"/>
      <c r="B166" s="96"/>
      <c r="C166" s="165" t="s">
        <v>654</v>
      </c>
      <c r="D166" s="36">
        <v>332.78</v>
      </c>
      <c r="E166" s="96"/>
      <c r="G166" s="357"/>
      <c r="H166" s="36"/>
      <c r="I166" s="155"/>
      <c r="J166" s="96"/>
      <c r="K166" s="103"/>
      <c r="L166" s="195"/>
    </row>
    <row r="167" spans="1:12" x14ac:dyDescent="0.2">
      <c r="A167" s="103"/>
      <c r="B167" s="96"/>
      <c r="C167" s="165" t="s">
        <v>907</v>
      </c>
      <c r="D167" s="36">
        <v>444.8</v>
      </c>
      <c r="E167" s="96"/>
      <c r="G167" s="357"/>
      <c r="H167" s="36"/>
      <c r="I167" s="155"/>
      <c r="J167" s="96"/>
      <c r="K167" s="103"/>
      <c r="L167" s="195"/>
    </row>
    <row r="168" spans="1:12" x14ac:dyDescent="0.2">
      <c r="A168" s="103"/>
      <c r="B168" s="96"/>
      <c r="C168" s="165" t="s">
        <v>663</v>
      </c>
      <c r="D168" s="36">
        <v>169.93</v>
      </c>
      <c r="E168" s="96"/>
      <c r="G168" s="357"/>
      <c r="H168" s="36"/>
      <c r="I168" s="155"/>
      <c r="J168" s="165"/>
      <c r="K168" s="103"/>
      <c r="L168" s="195"/>
    </row>
    <row r="169" spans="1:12" x14ac:dyDescent="0.2">
      <c r="A169" s="103"/>
      <c r="B169" s="96"/>
      <c r="C169" s="165" t="s">
        <v>908</v>
      </c>
      <c r="D169" s="36">
        <v>1228.18</v>
      </c>
      <c r="E169" s="96"/>
      <c r="G169" s="357"/>
      <c r="H169" s="36"/>
      <c r="I169" s="155"/>
      <c r="J169" s="96"/>
      <c r="K169" s="103"/>
      <c r="L169" s="195"/>
    </row>
    <row r="170" spans="1:12" x14ac:dyDescent="0.2">
      <c r="A170" s="103"/>
      <c r="B170" s="96"/>
      <c r="C170" s="165" t="s">
        <v>723</v>
      </c>
      <c r="D170" s="36">
        <v>298.07</v>
      </c>
      <c r="E170" s="96"/>
      <c r="G170" s="357"/>
      <c r="H170" s="36"/>
      <c r="I170" s="155"/>
      <c r="J170" s="155"/>
      <c r="K170" s="103"/>
      <c r="L170" s="195"/>
    </row>
    <row r="171" spans="1:12" x14ac:dyDescent="0.2">
      <c r="A171" s="103"/>
      <c r="B171" s="96"/>
      <c r="C171" s="165" t="s">
        <v>832</v>
      </c>
      <c r="D171" s="36">
        <v>112.19</v>
      </c>
      <c r="E171" s="96"/>
      <c r="G171" s="357"/>
      <c r="H171" s="36"/>
      <c r="I171" s="155"/>
      <c r="J171" s="155"/>
      <c r="K171" s="103"/>
      <c r="L171" s="195"/>
    </row>
    <row r="172" spans="1:12" x14ac:dyDescent="0.2">
      <c r="A172" s="103"/>
      <c r="B172" s="96"/>
      <c r="C172" s="165" t="s">
        <v>833</v>
      </c>
      <c r="D172" s="36">
        <v>225.66</v>
      </c>
      <c r="E172" s="96"/>
      <c r="G172" s="357"/>
      <c r="H172" s="36"/>
      <c r="I172" s="155"/>
      <c r="J172" s="155"/>
      <c r="K172" s="103"/>
      <c r="L172" s="195"/>
    </row>
    <row r="173" spans="1:12" x14ac:dyDescent="0.2">
      <c r="A173" s="103"/>
      <c r="B173" s="96"/>
      <c r="C173" s="165" t="s">
        <v>834</v>
      </c>
      <c r="D173" s="36">
        <v>336.32</v>
      </c>
      <c r="E173" s="96"/>
      <c r="G173" s="357"/>
      <c r="H173" s="36"/>
      <c r="I173" s="155"/>
      <c r="J173" s="155"/>
      <c r="K173" s="103"/>
      <c r="L173" s="195"/>
    </row>
    <row r="174" spans="1:12" x14ac:dyDescent="0.2">
      <c r="A174" s="103"/>
      <c r="B174" s="96"/>
      <c r="C174" s="165" t="s">
        <v>668</v>
      </c>
      <c r="D174" s="358">
        <v>107.9</v>
      </c>
      <c r="E174" s="96"/>
      <c r="G174" s="357"/>
      <c r="H174" s="358"/>
      <c r="I174" s="155"/>
      <c r="J174" s="155"/>
      <c r="K174" s="103"/>
      <c r="L174" s="195"/>
    </row>
    <row r="175" spans="1:12" x14ac:dyDescent="0.2">
      <c r="A175" s="103"/>
      <c r="B175" s="96"/>
      <c r="C175" s="165" t="s">
        <v>835</v>
      </c>
      <c r="D175" s="358">
        <v>283.31</v>
      </c>
      <c r="E175" s="96"/>
      <c r="G175" s="357"/>
      <c r="H175" s="358"/>
      <c r="I175" s="155"/>
      <c r="J175" s="155"/>
      <c r="K175" s="103"/>
      <c r="L175" s="195"/>
    </row>
    <row r="176" spans="1:12" x14ac:dyDescent="0.2">
      <c r="A176" s="103"/>
      <c r="B176" s="96"/>
      <c r="C176" s="165" t="s">
        <v>836</v>
      </c>
      <c r="D176" s="358">
        <v>82.22</v>
      </c>
      <c r="E176" s="96"/>
      <c r="G176" s="357"/>
      <c r="H176" s="358"/>
      <c r="I176" s="155"/>
      <c r="J176" s="155"/>
      <c r="K176" s="103"/>
      <c r="L176" s="195"/>
    </row>
    <row r="177" spans="1:12" x14ac:dyDescent="0.2">
      <c r="A177" s="103"/>
      <c r="B177" s="96"/>
      <c r="C177" s="165" t="s">
        <v>837</v>
      </c>
      <c r="D177" s="358">
        <v>127.44</v>
      </c>
      <c r="E177" s="96"/>
      <c r="G177" s="357"/>
      <c r="H177" s="358"/>
      <c r="I177" s="155"/>
      <c r="J177" s="155"/>
      <c r="K177" s="103"/>
      <c r="L177" s="195"/>
    </row>
    <row r="178" spans="1:12" x14ac:dyDescent="0.2">
      <c r="A178" s="103"/>
      <c r="B178" s="96"/>
      <c r="C178" s="165" t="s">
        <v>838</v>
      </c>
      <c r="D178" s="358">
        <v>214.64</v>
      </c>
      <c r="E178" s="96"/>
      <c r="G178" s="357"/>
      <c r="H178" s="358"/>
      <c r="I178" s="155"/>
      <c r="J178" s="155"/>
      <c r="K178" s="103"/>
      <c r="L178" s="195"/>
    </row>
    <row r="179" spans="1:12" x14ac:dyDescent="0.2">
      <c r="A179" s="103"/>
      <c r="B179" s="96"/>
      <c r="C179" s="165" t="s">
        <v>839</v>
      </c>
      <c r="D179" s="358">
        <v>262.10000000000002</v>
      </c>
      <c r="E179" s="96"/>
      <c r="G179" s="357"/>
      <c r="H179" s="358"/>
      <c r="I179" s="155"/>
      <c r="J179" s="155"/>
      <c r="K179" s="103"/>
      <c r="L179" s="195"/>
    </row>
    <row r="180" spans="1:12" x14ac:dyDescent="0.2">
      <c r="A180" s="103"/>
      <c r="B180" s="96"/>
      <c r="C180" s="165" t="s">
        <v>909</v>
      </c>
      <c r="D180" s="358">
        <v>567.67999999999995</v>
      </c>
      <c r="E180" s="96"/>
      <c r="G180" s="357"/>
      <c r="H180" s="358"/>
      <c r="I180" s="155"/>
      <c r="J180" s="155"/>
      <c r="K180" s="103"/>
      <c r="L180" s="195"/>
    </row>
    <row r="181" spans="1:12" x14ac:dyDescent="0.2">
      <c r="A181" s="103"/>
      <c r="B181" s="96"/>
      <c r="C181" s="96"/>
      <c r="D181" s="96"/>
      <c r="E181" s="96"/>
      <c r="F181" s="155"/>
      <c r="G181" s="155"/>
      <c r="H181" s="186"/>
      <c r="I181" s="155"/>
      <c r="J181" s="155"/>
      <c r="K181" s="103"/>
      <c r="L181" s="195"/>
    </row>
    <row r="182" spans="1:12" ht="15.75" x14ac:dyDescent="0.25">
      <c r="A182" s="103"/>
      <c r="B182" s="96"/>
      <c r="C182" s="19" t="s">
        <v>424</v>
      </c>
      <c r="D182" s="96"/>
      <c r="E182" s="96"/>
      <c r="F182" s="96"/>
      <c r="G182" s="96"/>
      <c r="H182" s="96"/>
      <c r="I182" s="96"/>
      <c r="J182" s="96"/>
      <c r="K182" s="103"/>
      <c r="L182" s="103"/>
    </row>
    <row r="183" spans="1:12" x14ac:dyDescent="0.2">
      <c r="A183" s="103"/>
      <c r="B183" s="96"/>
      <c r="C183" s="99" t="s">
        <v>425</v>
      </c>
      <c r="D183" s="192">
        <v>2.57</v>
      </c>
      <c r="E183" s="99" t="s">
        <v>779</v>
      </c>
      <c r="F183" s="196"/>
      <c r="G183" s="96"/>
      <c r="H183" s="96"/>
      <c r="I183" s="96"/>
      <c r="J183" s="96"/>
      <c r="K183" s="103"/>
      <c r="L183" s="103"/>
    </row>
    <row r="184" spans="1:12" x14ac:dyDescent="0.2">
      <c r="A184" s="103"/>
      <c r="B184" s="96"/>
      <c r="C184" s="99"/>
      <c r="D184" s="192"/>
      <c r="E184" s="99"/>
      <c r="F184" s="196"/>
      <c r="G184" s="96"/>
      <c r="H184" s="96"/>
      <c r="I184" s="96"/>
      <c r="J184" s="96"/>
      <c r="K184" s="103"/>
      <c r="L184" s="103"/>
    </row>
    <row r="185" spans="1:12" x14ac:dyDescent="0.2">
      <c r="A185" s="103"/>
      <c r="B185" s="96"/>
      <c r="C185" s="10"/>
      <c r="D185" s="10"/>
      <c r="E185" s="36"/>
      <c r="G185" s="99"/>
      <c r="H185" s="96"/>
      <c r="I185" s="46" t="s">
        <v>889</v>
      </c>
      <c r="J185" s="103"/>
    </row>
    <row r="186" spans="1:12" ht="15.75" x14ac:dyDescent="0.25">
      <c r="A186" s="103"/>
      <c r="B186" s="96"/>
      <c r="C186" s="19" t="s">
        <v>426</v>
      </c>
      <c r="D186" s="353" t="s">
        <v>905</v>
      </c>
      <c r="E186" s="353" t="s">
        <v>905</v>
      </c>
      <c r="F186" s="46" t="s">
        <v>890</v>
      </c>
      <c r="G186" s="46" t="s">
        <v>891</v>
      </c>
      <c r="H186" s="46" t="s">
        <v>892</v>
      </c>
      <c r="I186" s="46" t="s">
        <v>270</v>
      </c>
    </row>
    <row r="187" spans="1:12" ht="15" customHeight="1" x14ac:dyDescent="0.2">
      <c r="A187" s="103"/>
      <c r="B187" s="96"/>
      <c r="C187" s="10"/>
      <c r="D187" s="359" t="s">
        <v>906</v>
      </c>
      <c r="E187" s="359" t="s">
        <v>906</v>
      </c>
      <c r="F187" s="46" t="s">
        <v>427</v>
      </c>
      <c r="G187" s="46" t="s">
        <v>427</v>
      </c>
      <c r="H187" s="46" t="s">
        <v>427</v>
      </c>
      <c r="I187" s="46" t="s">
        <v>427</v>
      </c>
    </row>
    <row r="188" spans="1:12" x14ac:dyDescent="0.2">
      <c r="A188" s="103"/>
      <c r="B188" s="96"/>
      <c r="C188" s="48" t="s">
        <v>428</v>
      </c>
      <c r="D188" s="351" t="s">
        <v>893</v>
      </c>
      <c r="E188" s="351" t="s">
        <v>894</v>
      </c>
      <c r="F188" s="352" t="s">
        <v>413</v>
      </c>
      <c r="G188" s="352" t="s">
        <v>413</v>
      </c>
      <c r="H188" s="352" t="s">
        <v>413</v>
      </c>
      <c r="I188" s="352" t="s">
        <v>413</v>
      </c>
    </row>
    <row r="189" spans="1:12" s="99" customFormat="1" x14ac:dyDescent="0.2">
      <c r="A189" s="96"/>
      <c r="B189" s="96"/>
      <c r="C189" s="96" t="s">
        <v>914</v>
      </c>
      <c r="D189" s="353" t="s">
        <v>896</v>
      </c>
      <c r="E189" s="46" t="s">
        <v>323</v>
      </c>
      <c r="F189" s="354">
        <v>19.88</v>
      </c>
      <c r="G189" s="354">
        <v>5.74</v>
      </c>
      <c r="H189" s="355">
        <v>0.67</v>
      </c>
      <c r="I189" s="354">
        <f t="shared" ref="I189" si="24">F189+G189+H189</f>
        <v>26.29</v>
      </c>
    </row>
    <row r="190" spans="1:12" s="99" customFormat="1" x14ac:dyDescent="0.2">
      <c r="A190" s="96"/>
      <c r="B190" s="96"/>
      <c r="C190" s="96" t="s">
        <v>902</v>
      </c>
      <c r="D190" s="353" t="s">
        <v>898</v>
      </c>
      <c r="E190" s="46" t="s">
        <v>323</v>
      </c>
      <c r="F190" s="354">
        <v>21.96</v>
      </c>
      <c r="G190" s="354">
        <v>5.74</v>
      </c>
      <c r="H190" s="355">
        <v>0.67</v>
      </c>
      <c r="I190" s="354">
        <f>F190+G190+H190</f>
        <v>28.370000000000005</v>
      </c>
    </row>
    <row r="191" spans="1:12" s="99" customFormat="1" x14ac:dyDescent="0.2">
      <c r="A191" s="96"/>
      <c r="B191" s="96"/>
      <c r="C191" s="96" t="s">
        <v>915</v>
      </c>
      <c r="D191" s="353" t="s">
        <v>896</v>
      </c>
      <c r="E191" s="46" t="s">
        <v>323</v>
      </c>
      <c r="F191" s="354">
        <v>19.88</v>
      </c>
      <c r="G191" s="354">
        <v>5.74</v>
      </c>
      <c r="H191" s="355">
        <v>0.67</v>
      </c>
      <c r="I191" s="354">
        <f t="shared" ref="I191:I194" si="25">F191+G191+H191</f>
        <v>26.29</v>
      </c>
    </row>
    <row r="192" spans="1:12" s="99" customFormat="1" x14ac:dyDescent="0.2">
      <c r="A192" s="96"/>
      <c r="B192" s="96"/>
      <c r="C192" s="96" t="s">
        <v>913</v>
      </c>
      <c r="D192" s="353" t="s">
        <v>903</v>
      </c>
      <c r="E192" s="46" t="s">
        <v>897</v>
      </c>
      <c r="F192" s="354">
        <v>16</v>
      </c>
      <c r="G192" s="354">
        <v>7.17</v>
      </c>
      <c r="H192" s="355">
        <v>0.67</v>
      </c>
      <c r="I192" s="354">
        <f t="shared" si="25"/>
        <v>23.840000000000003</v>
      </c>
    </row>
    <row r="193" spans="1:9" s="99" customFormat="1" x14ac:dyDescent="0.2">
      <c r="A193" s="96"/>
      <c r="B193" s="96"/>
      <c r="C193" s="96" t="s">
        <v>912</v>
      </c>
      <c r="D193" s="353" t="s">
        <v>898</v>
      </c>
      <c r="E193" s="46" t="s">
        <v>897</v>
      </c>
      <c r="F193" s="354">
        <v>16.059999999999999</v>
      </c>
      <c r="G193" s="354">
        <v>5.74</v>
      </c>
      <c r="H193" s="355">
        <v>0.67</v>
      </c>
      <c r="I193" s="354">
        <f t="shared" si="25"/>
        <v>22.47</v>
      </c>
    </row>
    <row r="194" spans="1:9" s="99" customFormat="1" x14ac:dyDescent="0.2">
      <c r="A194" s="96"/>
      <c r="B194" s="96"/>
      <c r="C194" s="10" t="s">
        <v>904</v>
      </c>
      <c r="D194" s="353" t="s">
        <v>895</v>
      </c>
      <c r="E194" s="46" t="s">
        <v>323</v>
      </c>
      <c r="F194" s="354">
        <v>20.149999999999999</v>
      </c>
      <c r="G194" s="354">
        <v>5.74</v>
      </c>
      <c r="H194" s="355">
        <v>0.67</v>
      </c>
      <c r="I194" s="354">
        <f t="shared" si="25"/>
        <v>26.560000000000002</v>
      </c>
    </row>
    <row r="195" spans="1:9" ht="15.75" x14ac:dyDescent="0.25">
      <c r="A195"/>
      <c r="B195" s="2"/>
      <c r="C195" s="350"/>
      <c r="D195" s="2"/>
      <c r="E195" s="2"/>
      <c r="F195" s="2"/>
      <c r="G195" s="2"/>
      <c r="H195" s="2"/>
    </row>
    <row r="196" spans="1:9" ht="15.75" x14ac:dyDescent="0.25">
      <c r="A196" s="12" t="s">
        <v>258</v>
      </c>
      <c r="B196" s="2"/>
      <c r="C196" s="2"/>
      <c r="D196" s="2"/>
      <c r="E196" s="2"/>
      <c r="F196" s="2"/>
      <c r="G196" s="2"/>
      <c r="H196" s="2"/>
    </row>
    <row r="197" spans="1:9" s="99" customFormat="1" ht="15.75" x14ac:dyDescent="0.25">
      <c r="A197" s="2"/>
      <c r="B197" s="10" t="s">
        <v>899</v>
      </c>
      <c r="C197" s="2"/>
      <c r="D197" s="2"/>
      <c r="E197" s="2"/>
      <c r="F197" s="356"/>
      <c r="G197" s="2"/>
      <c r="H197" s="2"/>
    </row>
    <row r="198" spans="1:9" s="99" customFormat="1" ht="15.75" x14ac:dyDescent="0.25">
      <c r="A198" s="2"/>
      <c r="B198" s="10" t="s">
        <v>910</v>
      </c>
      <c r="C198" s="2"/>
      <c r="D198" s="2"/>
      <c r="E198" s="2"/>
      <c r="F198" s="356"/>
      <c r="G198" s="2"/>
      <c r="H198" s="2"/>
    </row>
    <row r="199" spans="1:9" s="99" customFormat="1" ht="15.75" x14ac:dyDescent="0.25">
      <c r="A199" s="2"/>
      <c r="B199" s="10" t="s">
        <v>900</v>
      </c>
      <c r="C199" s="2"/>
      <c r="D199" s="2"/>
      <c r="E199" s="2"/>
      <c r="F199" s="2"/>
      <c r="G199" s="2"/>
      <c r="H199" s="2"/>
    </row>
    <row r="200" spans="1:9" s="99" customFormat="1" ht="15.75" x14ac:dyDescent="0.25">
      <c r="A200" s="2"/>
      <c r="B200" s="10" t="s">
        <v>901</v>
      </c>
      <c r="C200" s="2"/>
      <c r="D200" s="2"/>
      <c r="E200" s="2"/>
      <c r="F200" s="2"/>
      <c r="G200" s="2"/>
      <c r="H200" s="2"/>
    </row>
    <row r="201" spans="1:9" s="99" customFormat="1" ht="15.75" x14ac:dyDescent="0.25">
      <c r="B201" s="2"/>
    </row>
    <row r="202" spans="1:9" s="99" customFormat="1" ht="15.75" x14ac:dyDescent="0.25">
      <c r="B202" s="2"/>
    </row>
    <row r="203" spans="1:9" s="99" customFormat="1" ht="15.75" x14ac:dyDescent="0.25">
      <c r="B203" s="2"/>
    </row>
    <row r="204" spans="1:9" s="99" customFormat="1" ht="15.75" x14ac:dyDescent="0.25">
      <c r="B204" s="2"/>
    </row>
    <row r="205" spans="1:9" ht="15.75" x14ac:dyDescent="0.25">
      <c r="B205"/>
    </row>
    <row r="206" spans="1:9" ht="15.75" x14ac:dyDescent="0.25">
      <c r="B206"/>
    </row>
    <row r="207" spans="1:9" ht="15.75" x14ac:dyDescent="0.25">
      <c r="B207"/>
    </row>
    <row r="208" spans="1:9" ht="15.75" x14ac:dyDescent="0.25">
      <c r="B208"/>
    </row>
    <row r="209" spans="2:2" ht="15.75" x14ac:dyDescent="0.25">
      <c r="B209"/>
    </row>
    <row r="210" spans="2:2" ht="15.75" x14ac:dyDescent="0.25">
      <c r="B210"/>
    </row>
    <row r="211" spans="2:2" ht="15.75" x14ac:dyDescent="0.25">
      <c r="B211"/>
    </row>
    <row r="212" spans="2:2" ht="15.75" x14ac:dyDescent="0.25">
      <c r="B212"/>
    </row>
    <row r="213" spans="2:2" ht="15.75" x14ac:dyDescent="0.25">
      <c r="B213"/>
    </row>
    <row r="214" spans="2:2" ht="15.75" x14ac:dyDescent="0.25">
      <c r="B214"/>
    </row>
    <row r="215" spans="2:2" ht="15.75" x14ac:dyDescent="0.25">
      <c r="B215"/>
    </row>
    <row r="216" spans="2:2" ht="15.75" x14ac:dyDescent="0.25">
      <c r="B216"/>
    </row>
    <row r="217" spans="2:2" ht="15.75" x14ac:dyDescent="0.25">
      <c r="B217"/>
    </row>
    <row r="218" spans="2:2" ht="15.75" x14ac:dyDescent="0.25">
      <c r="B218"/>
    </row>
    <row r="219" spans="2:2" ht="15.75" x14ac:dyDescent="0.25">
      <c r="B219"/>
    </row>
    <row r="220" spans="2:2" ht="15.75" x14ac:dyDescent="0.25">
      <c r="B220"/>
    </row>
    <row r="221" spans="2:2" ht="15.75" x14ac:dyDescent="0.25">
      <c r="B221"/>
    </row>
    <row r="222" spans="2:2" ht="15.75" x14ac:dyDescent="0.25">
      <c r="B222"/>
    </row>
    <row r="223" spans="2:2" ht="15.75" x14ac:dyDescent="0.25">
      <c r="B223"/>
    </row>
    <row r="224" spans="2:2" ht="15.75" x14ac:dyDescent="0.25">
      <c r="B224"/>
    </row>
    <row r="225" spans="2:2" ht="15.75" x14ac:dyDescent="0.25">
      <c r="B225"/>
    </row>
    <row r="226" spans="2:2" ht="15.75" x14ac:dyDescent="0.25">
      <c r="B226"/>
    </row>
    <row r="227" spans="2:2" ht="15.75" x14ac:dyDescent="0.25">
      <c r="B227"/>
    </row>
    <row r="228" spans="2:2" ht="15.75" x14ac:dyDescent="0.25">
      <c r="B228"/>
    </row>
    <row r="229" spans="2:2" ht="15.75" x14ac:dyDescent="0.25">
      <c r="B229"/>
    </row>
    <row r="230" spans="2:2" ht="15.75" x14ac:dyDescent="0.25">
      <c r="B230"/>
    </row>
    <row r="231" spans="2:2" ht="15.75" x14ac:dyDescent="0.25">
      <c r="B231"/>
    </row>
    <row r="232" spans="2:2" ht="15.75" x14ac:dyDescent="0.25">
      <c r="B232"/>
    </row>
    <row r="233" spans="2:2" ht="15.75" x14ac:dyDescent="0.25">
      <c r="B233"/>
    </row>
    <row r="234" spans="2:2" ht="15.75" x14ac:dyDescent="0.25">
      <c r="B234"/>
    </row>
    <row r="235" spans="2:2" ht="15.75" x14ac:dyDescent="0.25">
      <c r="B235"/>
    </row>
    <row r="236" spans="2:2" ht="15.75" x14ac:dyDescent="0.25">
      <c r="B236"/>
    </row>
    <row r="237" spans="2:2" ht="15.75" x14ac:dyDescent="0.25">
      <c r="B237"/>
    </row>
  </sheetData>
  <printOptions horizontalCentered="1"/>
  <pageMargins left="0.25" right="0.25" top="0.42" bottom="0.53" header="0.37" footer="0.31"/>
  <pageSetup scale="4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N44"/>
  <sheetViews>
    <sheetView workbookViewId="0"/>
  </sheetViews>
  <sheetFormatPr defaultColWidth="12.5703125" defaultRowHeight="15" x14ac:dyDescent="0.2"/>
  <cols>
    <col min="1" max="1" width="6.140625" style="105" customWidth="1"/>
    <col min="2" max="2" width="58.5703125" style="105" customWidth="1"/>
    <col min="3" max="3" width="13.85546875" style="105" customWidth="1"/>
    <col min="4" max="4" width="20.7109375" style="105" customWidth="1"/>
    <col min="5" max="5" width="21.5703125" style="105" customWidth="1"/>
    <col min="6" max="6" width="13.140625" style="105" customWidth="1"/>
    <col min="7" max="16384" width="12.5703125" style="105"/>
  </cols>
  <sheetData>
    <row r="1" spans="1:14" x14ac:dyDescent="0.2">
      <c r="A1" s="102" t="str">
        <f>General!A1</f>
        <v>FINANCIAL ASSURANCE AMOUNT CALCULATION</v>
      </c>
      <c r="B1" s="102"/>
      <c r="C1" s="102"/>
      <c r="D1" s="102"/>
      <c r="E1" s="106" t="str">
        <f>General!D1</f>
        <v>Questa Mine Site</v>
      </c>
      <c r="G1" s="335"/>
      <c r="H1" s="99"/>
      <c r="I1" s="99"/>
      <c r="J1" s="99"/>
      <c r="K1" s="99"/>
      <c r="L1" s="99"/>
      <c r="M1" s="99"/>
      <c r="N1" s="99"/>
    </row>
    <row r="2" spans="1:14" x14ac:dyDescent="0.2">
      <c r="A2" s="102" t="str">
        <f>General!A2</f>
        <v>Chevron Mining Inc.</v>
      </c>
      <c r="B2" s="102"/>
      <c r="C2" s="102"/>
      <c r="D2" s="102"/>
      <c r="E2" s="106" t="s">
        <v>429</v>
      </c>
      <c r="G2" s="99"/>
      <c r="H2" s="99"/>
      <c r="I2" s="99"/>
      <c r="J2" s="99"/>
      <c r="K2" s="99"/>
      <c r="L2" s="99"/>
      <c r="M2" s="99"/>
      <c r="N2" s="99"/>
    </row>
    <row r="3" spans="1:14" x14ac:dyDescent="0.2">
      <c r="A3" s="4" t="s">
        <v>430</v>
      </c>
      <c r="B3" s="102"/>
      <c r="C3" s="102"/>
      <c r="D3" s="102"/>
      <c r="E3" s="114">
        <f>General!$D$2</f>
        <v>37256</v>
      </c>
      <c r="G3" s="99"/>
      <c r="H3" s="99"/>
      <c r="I3" s="99"/>
      <c r="J3" s="99"/>
      <c r="K3" s="99"/>
      <c r="L3" s="99"/>
      <c r="M3" s="99"/>
      <c r="N3" s="99"/>
    </row>
    <row r="4" spans="1:14" x14ac:dyDescent="0.2">
      <c r="A4" s="4"/>
      <c r="B4" s="102"/>
      <c r="C4" s="102"/>
      <c r="D4" s="106" t="str">
        <f>General!C3</f>
        <v>Updated by Kiewit/AECOM</v>
      </c>
      <c r="E4" s="114">
        <f>General!D3</f>
        <v>43419</v>
      </c>
      <c r="G4" s="99"/>
      <c r="H4" s="99"/>
      <c r="I4" s="99"/>
      <c r="J4" s="99"/>
      <c r="K4" s="99"/>
      <c r="L4" s="99"/>
      <c r="M4" s="99"/>
      <c r="N4" s="99"/>
    </row>
    <row r="5" spans="1:14" x14ac:dyDescent="0.2">
      <c r="A5" s="4"/>
      <c r="B5" s="102"/>
      <c r="C5" s="102"/>
      <c r="D5" s="106"/>
      <c r="E5" s="114"/>
      <c r="G5" s="99"/>
      <c r="H5" s="99"/>
      <c r="I5" s="99"/>
      <c r="J5" s="99"/>
      <c r="K5" s="99"/>
      <c r="L5" s="99"/>
      <c r="M5" s="99"/>
      <c r="N5" s="99"/>
    </row>
    <row r="6" spans="1:14" ht="15.75" x14ac:dyDescent="0.25">
      <c r="A6" s="51" t="s">
        <v>431</v>
      </c>
      <c r="G6" s="99"/>
      <c r="H6" s="99"/>
      <c r="I6" s="99"/>
      <c r="J6" s="99"/>
      <c r="K6" s="99"/>
      <c r="L6" s="99"/>
      <c r="M6" s="99"/>
      <c r="N6" s="99"/>
    </row>
    <row r="7" spans="1:14" x14ac:dyDescent="0.2">
      <c r="A7" s="4"/>
      <c r="B7" s="105" t="s">
        <v>977</v>
      </c>
      <c r="G7" s="99"/>
      <c r="H7" s="99"/>
      <c r="I7" s="99"/>
      <c r="J7" s="99"/>
      <c r="K7" s="99"/>
      <c r="L7" s="99"/>
      <c r="M7" s="99"/>
      <c r="N7" s="99"/>
    </row>
    <row r="8" spans="1:14" x14ac:dyDescent="0.2">
      <c r="A8" s="4"/>
      <c r="G8" s="99"/>
      <c r="H8" s="99"/>
      <c r="I8" s="99"/>
      <c r="J8" s="99"/>
      <c r="K8" s="99"/>
      <c r="L8" s="99"/>
      <c r="M8" s="99"/>
      <c r="N8" s="99"/>
    </row>
    <row r="9" spans="1:14" x14ac:dyDescent="0.2">
      <c r="A9" s="4"/>
      <c r="D9" s="115" t="s">
        <v>235</v>
      </c>
      <c r="E9" s="115" t="s">
        <v>432</v>
      </c>
      <c r="G9" s="99"/>
      <c r="H9" s="99"/>
      <c r="I9" s="99"/>
      <c r="J9" s="99"/>
      <c r="K9" s="99"/>
      <c r="L9" s="99"/>
      <c r="M9" s="99"/>
      <c r="N9" s="99"/>
    </row>
    <row r="10" spans="1:14" x14ac:dyDescent="0.2">
      <c r="C10" s="115" t="s">
        <v>239</v>
      </c>
      <c r="D10" s="115" t="s">
        <v>242</v>
      </c>
      <c r="E10" s="115" t="s">
        <v>242</v>
      </c>
      <c r="G10" s="388"/>
      <c r="H10" s="99"/>
      <c r="I10" s="99"/>
      <c r="J10" s="99"/>
      <c r="K10" s="99"/>
      <c r="L10" s="99"/>
      <c r="M10" s="99"/>
      <c r="N10" s="99"/>
    </row>
    <row r="11" spans="1:14" x14ac:dyDescent="0.2">
      <c r="A11" s="102"/>
      <c r="B11" s="346" t="s">
        <v>433</v>
      </c>
      <c r="C11" s="347" t="s">
        <v>339</v>
      </c>
      <c r="D11" s="347" t="s">
        <v>434</v>
      </c>
      <c r="E11" s="347" t="s">
        <v>247</v>
      </c>
      <c r="G11" s="99"/>
      <c r="H11" s="99"/>
      <c r="I11" s="99"/>
      <c r="J11" s="99"/>
      <c r="K11" s="99"/>
      <c r="L11" s="99"/>
      <c r="M11" s="99"/>
      <c r="N11" s="99"/>
    </row>
    <row r="12" spans="1:14" x14ac:dyDescent="0.2">
      <c r="A12" s="102"/>
      <c r="B12" s="296" t="s">
        <v>920</v>
      </c>
      <c r="C12" s="130">
        <v>4</v>
      </c>
      <c r="D12" s="131">
        <f t="shared" ref="D12:D21" si="0">15300/47</f>
        <v>325.531914893617</v>
      </c>
      <c r="E12" s="131">
        <f t="shared" ref="E12:E21" si="1">C12*D12</f>
        <v>1302.127659574468</v>
      </c>
      <c r="G12" s="99"/>
      <c r="H12" s="99"/>
      <c r="I12" s="99"/>
      <c r="J12" s="99"/>
      <c r="K12" s="99"/>
      <c r="L12" s="99"/>
      <c r="M12" s="99"/>
      <c r="N12" s="99"/>
    </row>
    <row r="13" spans="1:14" x14ac:dyDescent="0.2">
      <c r="B13" s="296" t="s">
        <v>921</v>
      </c>
      <c r="C13" s="130">
        <v>41</v>
      </c>
      <c r="D13" s="131">
        <f t="shared" si="0"/>
        <v>325.531914893617</v>
      </c>
      <c r="E13" s="131">
        <f t="shared" si="1"/>
        <v>13346.808510638297</v>
      </c>
      <c r="G13" s="99"/>
      <c r="H13" s="99"/>
      <c r="I13" s="99"/>
      <c r="J13" s="99"/>
      <c r="K13" s="99"/>
      <c r="L13" s="99"/>
      <c r="M13" s="99"/>
      <c r="N13" s="99"/>
    </row>
    <row r="14" spans="1:14" x14ac:dyDescent="0.2">
      <c r="B14" s="142" t="s">
        <v>922</v>
      </c>
      <c r="C14" s="130">
        <v>103</v>
      </c>
      <c r="D14" s="131">
        <f t="shared" si="0"/>
        <v>325.531914893617</v>
      </c>
      <c r="E14" s="131">
        <f t="shared" si="1"/>
        <v>33529.787234042553</v>
      </c>
      <c r="G14" s="99"/>
      <c r="H14" s="99"/>
      <c r="I14" s="99"/>
      <c r="J14" s="99"/>
      <c r="K14" s="99"/>
      <c r="L14" s="99"/>
      <c r="M14" s="99"/>
      <c r="N14" s="99"/>
    </row>
    <row r="15" spans="1:14" x14ac:dyDescent="0.2">
      <c r="B15" s="99" t="s">
        <v>923</v>
      </c>
      <c r="C15" s="130">
        <v>103</v>
      </c>
      <c r="D15" s="131">
        <f>15300/47</f>
        <v>325.531914893617</v>
      </c>
      <c r="E15" s="131">
        <f t="shared" si="1"/>
        <v>33529.787234042553</v>
      </c>
      <c r="G15" s="99"/>
      <c r="H15" s="99"/>
      <c r="I15" s="99"/>
      <c r="J15" s="99"/>
      <c r="K15" s="99"/>
      <c r="L15" s="99"/>
      <c r="M15" s="99"/>
      <c r="N15" s="99"/>
    </row>
    <row r="16" spans="1:14" x14ac:dyDescent="0.2">
      <c r="B16" s="296" t="s">
        <v>924</v>
      </c>
      <c r="C16" s="130">
        <v>165</v>
      </c>
      <c r="D16" s="131">
        <f t="shared" si="0"/>
        <v>325.531914893617</v>
      </c>
      <c r="E16" s="131">
        <f t="shared" si="1"/>
        <v>53712.765957446805</v>
      </c>
      <c r="G16" s="99"/>
      <c r="H16" s="99"/>
      <c r="I16" s="99"/>
      <c r="J16" s="99"/>
      <c r="K16" s="99"/>
      <c r="L16" s="99"/>
      <c r="M16" s="99"/>
      <c r="N16" s="99"/>
    </row>
    <row r="17" spans="1:6" x14ac:dyDescent="0.2">
      <c r="B17" s="296" t="s">
        <v>925</v>
      </c>
      <c r="C17" s="130">
        <v>198</v>
      </c>
      <c r="D17" s="131">
        <f t="shared" si="0"/>
        <v>325.531914893617</v>
      </c>
      <c r="E17" s="131">
        <f>C17*D17</f>
        <v>64455.319148936163</v>
      </c>
    </row>
    <row r="18" spans="1:6" x14ac:dyDescent="0.2">
      <c r="B18" s="99" t="s">
        <v>926</v>
      </c>
      <c r="C18" s="130">
        <v>103</v>
      </c>
      <c r="D18" s="131">
        <f t="shared" si="0"/>
        <v>325.531914893617</v>
      </c>
      <c r="E18" s="131">
        <f>C18*D18</f>
        <v>33529.787234042553</v>
      </c>
    </row>
    <row r="19" spans="1:6" x14ac:dyDescent="0.2">
      <c r="B19" s="99" t="s">
        <v>927</v>
      </c>
      <c r="C19" s="99">
        <f>310</f>
        <v>310</v>
      </c>
      <c r="D19" s="131">
        <f t="shared" si="0"/>
        <v>325.531914893617</v>
      </c>
      <c r="E19" s="131">
        <f t="shared" si="1"/>
        <v>100914.89361702127</v>
      </c>
    </row>
    <row r="20" spans="1:6" x14ac:dyDescent="0.2">
      <c r="B20" s="99" t="s">
        <v>66</v>
      </c>
      <c r="C20" s="130">
        <f>50*5280*25/43560</f>
        <v>151.5151515151515</v>
      </c>
      <c r="D20" s="131">
        <f t="shared" si="0"/>
        <v>325.531914893617</v>
      </c>
      <c r="E20" s="131">
        <f t="shared" si="1"/>
        <v>49323.017408123786</v>
      </c>
    </row>
    <row r="21" spans="1:6" x14ac:dyDescent="0.2">
      <c r="B21" s="99" t="s">
        <v>63</v>
      </c>
      <c r="C21" s="130">
        <f>3000*2000/43560</f>
        <v>137.74104683195591</v>
      </c>
      <c r="D21" s="306">
        <f t="shared" si="0"/>
        <v>325.531914893617</v>
      </c>
      <c r="E21" s="348">
        <f t="shared" si="1"/>
        <v>44839.106734657988</v>
      </c>
    </row>
    <row r="22" spans="1:6" ht="15.75" x14ac:dyDescent="0.25">
      <c r="B22" s="197"/>
      <c r="C22" s="198"/>
      <c r="D22" s="42" t="s">
        <v>928</v>
      </c>
      <c r="E22" s="43">
        <f>SUM(E12:E21)</f>
        <v>428483.40073852643</v>
      </c>
    </row>
    <row r="23" spans="1:6" ht="15.75" thickBot="1" x14ac:dyDescent="0.25">
      <c r="B23" s="152"/>
      <c r="D23" s="98" t="s">
        <v>256</v>
      </c>
      <c r="E23" s="52">
        <f>C33</f>
        <v>10096.711205788795</v>
      </c>
    </row>
    <row r="24" spans="1:6" ht="16.5" thickTop="1" x14ac:dyDescent="0.25">
      <c r="D24" s="42" t="s">
        <v>780</v>
      </c>
      <c r="E24" s="53">
        <f>SUM(E22:E23)</f>
        <v>438580.1119443152</v>
      </c>
    </row>
    <row r="25" spans="1:6" x14ac:dyDescent="0.2">
      <c r="A25" s="99" t="s">
        <v>435</v>
      </c>
      <c r="B25" s="152"/>
      <c r="D25" s="134"/>
      <c r="E25" s="13"/>
    </row>
    <row r="26" spans="1:6" ht="15.75" x14ac:dyDescent="0.25">
      <c r="A26" s="105" t="s">
        <v>436</v>
      </c>
      <c r="B26" s="130" t="s">
        <v>935</v>
      </c>
      <c r="D26" s="152"/>
      <c r="E26" s="54"/>
    </row>
    <row r="27" spans="1:6" x14ac:dyDescent="0.2">
      <c r="F27" s="103"/>
    </row>
    <row r="28" spans="1:6" x14ac:dyDescent="0.2">
      <c r="B28" s="115" t="s">
        <v>421</v>
      </c>
      <c r="C28" s="132">
        <f>'21...Inflation Rate'!$G$56</f>
        <v>2.3563832784155192E-2</v>
      </c>
      <c r="D28" s="133" t="s">
        <v>257</v>
      </c>
    </row>
    <row r="29" spans="1:6" x14ac:dyDescent="0.2">
      <c r="B29" s="99"/>
      <c r="C29" s="123" t="s">
        <v>259</v>
      </c>
      <c r="D29" s="99"/>
    </row>
    <row r="30" spans="1:6" x14ac:dyDescent="0.2">
      <c r="C30" s="123" t="s">
        <v>260</v>
      </c>
    </row>
    <row r="31" spans="1:6" x14ac:dyDescent="0.2">
      <c r="B31" s="99">
        <v>2017</v>
      </c>
      <c r="C31" s="135">
        <f>($E$22)*$C$28</f>
        <v>10096.711205788795</v>
      </c>
    </row>
    <row r="32" spans="1:6" ht="15.75" thickBot="1" x14ac:dyDescent="0.25">
      <c r="B32" s="99">
        <v>2018</v>
      </c>
      <c r="C32" s="135">
        <f>SUM(C31:C31,$E$22)*$C$28</f>
        <v>10334.628420311908</v>
      </c>
    </row>
    <row r="33" spans="1:8" ht="15.75" thickTop="1" x14ac:dyDescent="0.2">
      <c r="C33" s="349">
        <f>SUM(C31:C31)</f>
        <v>10096.711205788795</v>
      </c>
      <c r="D33" s="45" t="s">
        <v>929</v>
      </c>
      <c r="E33" s="13"/>
    </row>
    <row r="34" spans="1:8" x14ac:dyDescent="0.2">
      <c r="A34" s="102"/>
      <c r="B34" s="102"/>
      <c r="D34" s="199"/>
      <c r="E34" s="103"/>
    </row>
    <row r="35" spans="1:8" x14ac:dyDescent="0.2">
      <c r="A35" s="102"/>
      <c r="B35" s="102"/>
      <c r="D35" s="199"/>
      <c r="E35" s="103"/>
    </row>
    <row r="36" spans="1:8" x14ac:dyDescent="0.2">
      <c r="A36" s="103"/>
      <c r="B36" s="122" t="s">
        <v>437</v>
      </c>
      <c r="D36" s="103"/>
      <c r="E36" s="103"/>
      <c r="G36" s="99"/>
      <c r="H36" s="99"/>
    </row>
    <row r="37" spans="1:8" x14ac:dyDescent="0.2">
      <c r="A37" s="103"/>
      <c r="B37" s="103"/>
      <c r="C37" s="205" t="s">
        <v>930</v>
      </c>
      <c r="D37" s="57" t="s">
        <v>965</v>
      </c>
      <c r="E37" s="103"/>
      <c r="G37" s="99"/>
      <c r="H37" s="99"/>
    </row>
    <row r="38" spans="1:8" x14ac:dyDescent="0.2">
      <c r="B38" s="122" t="s">
        <v>438</v>
      </c>
      <c r="C38" s="200">
        <v>0.1</v>
      </c>
      <c r="D38" s="200">
        <v>0.05</v>
      </c>
      <c r="E38" s="201" t="s">
        <v>439</v>
      </c>
      <c r="G38" s="99"/>
      <c r="H38" s="99"/>
    </row>
    <row r="39" spans="1:8" x14ac:dyDescent="0.2">
      <c r="B39" s="122" t="s">
        <v>440</v>
      </c>
      <c r="C39" s="202">
        <f>C38*$E$24</f>
        <v>43858.011194431521</v>
      </c>
      <c r="D39" s="202">
        <f>D38*$E$24</f>
        <v>21929.005597215761</v>
      </c>
      <c r="E39" s="201" t="s">
        <v>439</v>
      </c>
      <c r="G39" s="99"/>
      <c r="H39" s="99"/>
    </row>
    <row r="40" spans="1:8" x14ac:dyDescent="0.2">
      <c r="C40" s="105" t="s">
        <v>931</v>
      </c>
      <c r="D40" s="11" t="s">
        <v>966</v>
      </c>
    </row>
    <row r="41" spans="1:8" x14ac:dyDescent="0.2">
      <c r="C41" s="361">
        <f>5*C39</f>
        <v>219290.0559721576</v>
      </c>
      <c r="D41" s="361">
        <f>38*D39</f>
        <v>833302.21269419894</v>
      </c>
      <c r="E41" s="201"/>
    </row>
    <row r="42" spans="1:8" x14ac:dyDescent="0.2">
      <c r="D42" s="202"/>
      <c r="E42" s="201"/>
    </row>
    <row r="43" spans="1:8" x14ac:dyDescent="0.2">
      <c r="A43" s="105" t="s">
        <v>258</v>
      </c>
    </row>
    <row r="44" spans="1:8" x14ac:dyDescent="0.2">
      <c r="B44" s="105" t="s">
        <v>441</v>
      </c>
    </row>
  </sheetData>
  <printOptions horizontalCentered="1"/>
  <pageMargins left="0.72" right="0.38" top="0.5" bottom="0.85" header="0.5" footer="0.5"/>
  <pageSetup scale="54" orientation="portrait" r:id="rId1"/>
  <rowBreaks count="1" manualBreakCount="1">
    <brk id="2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R11"/>
  <sheetViews>
    <sheetView workbookViewId="0"/>
  </sheetViews>
  <sheetFormatPr defaultColWidth="12.5703125" defaultRowHeight="15" x14ac:dyDescent="0.2"/>
  <cols>
    <col min="1" max="1" width="37.28515625" style="105" customWidth="1"/>
    <col min="2" max="2" width="12.5703125" style="105" customWidth="1"/>
    <col min="3" max="3" width="13.42578125" style="105" customWidth="1"/>
    <col min="4" max="4" width="14.140625" style="105" customWidth="1"/>
    <col min="5" max="5" width="12.5703125" style="105" customWidth="1"/>
    <col min="6" max="6" width="9.7109375" style="105" customWidth="1"/>
    <col min="7" max="7" width="10.85546875" style="105" customWidth="1"/>
    <col min="8" max="8" width="9.5703125" style="105" customWidth="1"/>
    <col min="9" max="9" width="13.85546875" style="105" customWidth="1"/>
    <col min="10" max="10" width="4.140625" style="105" customWidth="1"/>
    <col min="11" max="11" width="12.5703125" style="105" customWidth="1"/>
    <col min="12" max="16" width="12.5703125" style="105"/>
    <col min="17" max="17" width="17.28515625" style="105" customWidth="1"/>
    <col min="18" max="16384" width="12.5703125" style="105"/>
  </cols>
  <sheetData>
    <row r="1" spans="1:18" x14ac:dyDescent="0.2">
      <c r="A1" s="152" t="str">
        <f>General!A1</f>
        <v>FINANCIAL ASSURANCE AMOUNT CALCULATION</v>
      </c>
      <c r="B1" s="152"/>
      <c r="C1" s="152"/>
      <c r="G1" s="103"/>
      <c r="I1" s="104" t="str">
        <f>'1...Describe'!G1</f>
        <v>Questa Mine Site</v>
      </c>
      <c r="K1" s="335"/>
      <c r="L1" s="96"/>
      <c r="M1" s="96"/>
      <c r="N1" s="96"/>
      <c r="O1" s="96"/>
      <c r="P1" s="96"/>
      <c r="Q1" s="96"/>
      <c r="R1" s="103"/>
    </row>
    <row r="2" spans="1:18" x14ac:dyDescent="0.2">
      <c r="A2" s="152" t="str">
        <f>General!A2</f>
        <v>Chevron Mining Inc.</v>
      </c>
      <c r="B2" s="152"/>
      <c r="C2" s="152"/>
      <c r="G2" s="103"/>
      <c r="I2" s="104" t="s">
        <v>442</v>
      </c>
      <c r="K2" s="99"/>
      <c r="L2" s="96"/>
      <c r="M2" s="96"/>
      <c r="N2" s="96"/>
      <c r="O2" s="96"/>
      <c r="P2" s="96"/>
      <c r="Q2" s="96"/>
      <c r="R2" s="103"/>
    </row>
    <row r="3" spans="1:18" x14ac:dyDescent="0.2">
      <c r="A3" s="26" t="s">
        <v>443</v>
      </c>
      <c r="B3" s="152"/>
      <c r="C3" s="152"/>
      <c r="G3" s="103"/>
      <c r="I3" s="114">
        <f>General!$D$2</f>
        <v>37256</v>
      </c>
      <c r="K3" s="96"/>
      <c r="L3" s="96"/>
      <c r="M3" s="96"/>
      <c r="N3" s="96"/>
      <c r="O3" s="96"/>
      <c r="P3" s="96"/>
      <c r="Q3" s="96"/>
      <c r="R3" s="103"/>
    </row>
    <row r="4" spans="1:18" x14ac:dyDescent="0.2">
      <c r="A4" s="152"/>
      <c r="B4" s="152"/>
      <c r="C4" s="152"/>
      <c r="G4" s="103"/>
      <c r="H4" s="106" t="str">
        <f>General!C3</f>
        <v>Updated by Kiewit/AECOM</v>
      </c>
      <c r="I4" s="114">
        <f>General!$D$3</f>
        <v>43419</v>
      </c>
      <c r="K4" s="96"/>
      <c r="L4" s="96"/>
      <c r="M4" s="96"/>
      <c r="N4" s="96"/>
      <c r="O4" s="96"/>
      <c r="P4" s="96"/>
      <c r="Q4" s="96"/>
      <c r="R4" s="103"/>
    </row>
    <row r="5" spans="1:18" x14ac:dyDescent="0.2">
      <c r="A5" s="96"/>
      <c r="B5" s="103"/>
      <c r="C5" s="103"/>
      <c r="D5" s="103"/>
      <c r="E5" s="103"/>
      <c r="F5" s="103"/>
      <c r="G5" s="103"/>
      <c r="H5" s="103"/>
      <c r="I5" s="103"/>
      <c r="J5" s="103"/>
      <c r="K5" s="335"/>
      <c r="L5" s="99"/>
      <c r="M5" s="99"/>
      <c r="N5" s="99"/>
      <c r="O5" s="99"/>
      <c r="P5" s="99"/>
      <c r="Q5" s="99"/>
    </row>
    <row r="6" spans="1:18" x14ac:dyDescent="0.2">
      <c r="A6" s="105" t="s">
        <v>884</v>
      </c>
      <c r="B6" s="103"/>
      <c r="C6" s="103"/>
      <c r="D6" s="103"/>
      <c r="E6" s="103"/>
      <c r="F6" s="103"/>
      <c r="G6" s="103"/>
      <c r="H6" s="103"/>
      <c r="I6" s="103"/>
      <c r="J6" s="103"/>
      <c r="K6" s="99"/>
      <c r="L6" s="96"/>
      <c r="M6" s="96"/>
      <c r="N6" s="96"/>
      <c r="O6" s="96"/>
      <c r="P6" s="96"/>
      <c r="Q6" s="96"/>
      <c r="R6" s="103"/>
    </row>
    <row r="7" spans="1:18" x14ac:dyDescent="0.2">
      <c r="A7" s="103" t="s">
        <v>883</v>
      </c>
      <c r="B7" s="103"/>
      <c r="C7" s="103"/>
      <c r="D7" s="103"/>
      <c r="E7" s="103"/>
      <c r="F7" s="103"/>
      <c r="G7" s="103"/>
      <c r="H7" s="103"/>
      <c r="I7" s="103"/>
      <c r="J7" s="103"/>
      <c r="K7" s="96"/>
      <c r="L7" s="96"/>
      <c r="M7" s="96"/>
      <c r="N7" s="96"/>
      <c r="O7" s="96"/>
      <c r="P7" s="96"/>
      <c r="Q7" s="96"/>
      <c r="R7" s="103"/>
    </row>
    <row r="8" spans="1:18" x14ac:dyDescent="0.2">
      <c r="A8" s="103"/>
      <c r="B8" s="103"/>
      <c r="C8" s="103"/>
      <c r="D8" s="103"/>
      <c r="E8" s="103"/>
      <c r="F8" s="103"/>
      <c r="G8" s="103"/>
      <c r="H8" s="103"/>
      <c r="I8" s="103"/>
      <c r="J8" s="103"/>
      <c r="K8" s="96"/>
      <c r="L8" s="96"/>
      <c r="M8" s="96"/>
      <c r="N8" s="96"/>
      <c r="O8" s="96"/>
      <c r="P8" s="96"/>
      <c r="Q8" s="96"/>
      <c r="R8" s="103"/>
    </row>
    <row r="9" spans="1:18" x14ac:dyDescent="0.2">
      <c r="B9" s="103"/>
      <c r="C9" s="103"/>
      <c r="K9" s="99"/>
      <c r="L9" s="99"/>
      <c r="M9" s="99"/>
      <c r="N9" s="99"/>
      <c r="O9" s="99"/>
      <c r="P9" s="99"/>
      <c r="Q9" s="99"/>
    </row>
    <row r="10" spans="1:18" x14ac:dyDescent="0.2">
      <c r="B10" s="103"/>
      <c r="C10" s="103"/>
      <c r="K10" s="99"/>
      <c r="L10" s="99"/>
      <c r="M10" s="99"/>
      <c r="N10" s="99"/>
      <c r="O10" s="99"/>
      <c r="P10" s="99"/>
      <c r="Q10" s="99"/>
    </row>
    <row r="11" spans="1:18" x14ac:dyDescent="0.2">
      <c r="K11" s="99"/>
      <c r="L11" s="99"/>
      <c r="M11" s="99"/>
      <c r="N11" s="99"/>
      <c r="O11" s="99"/>
      <c r="P11" s="99"/>
      <c r="Q11" s="99"/>
    </row>
  </sheetData>
  <printOptions horizontalCentered="1"/>
  <pageMargins left="0.35" right="0.3" top="0.66" bottom="0.72" header="0.5" footer="0.5"/>
  <pageSetup scale="7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N32"/>
  <sheetViews>
    <sheetView workbookViewId="0"/>
  </sheetViews>
  <sheetFormatPr defaultRowHeight="15" x14ac:dyDescent="0.2"/>
  <cols>
    <col min="1" max="1" width="64.28515625" style="105" customWidth="1"/>
    <col min="2" max="2" width="13.140625" style="105" customWidth="1"/>
    <col min="3" max="3" width="9.42578125" style="105" customWidth="1"/>
    <col min="4" max="4" width="18.5703125" style="105" customWidth="1"/>
    <col min="5" max="5" width="18" style="105" customWidth="1"/>
    <col min="6" max="6" width="5.140625" style="105" bestFit="1" customWidth="1"/>
    <col min="7" max="7" width="12.42578125" style="105" customWidth="1"/>
    <col min="8" max="8" width="6.28515625" style="105" bestFit="1" customWidth="1"/>
    <col min="9" max="9" width="9.28515625" style="105" bestFit="1" customWidth="1"/>
    <col min="10" max="10" width="13.5703125" style="105" customWidth="1"/>
    <col min="11" max="11" width="16.85546875" style="105" bestFit="1" customWidth="1"/>
    <col min="12" max="12" width="14" style="105" bestFit="1" customWidth="1"/>
    <col min="13" max="16384" width="9.140625" style="105"/>
  </cols>
  <sheetData>
    <row r="1" spans="1:14" x14ac:dyDescent="0.2">
      <c r="A1" s="152" t="str">
        <f>General!A1</f>
        <v>FINANCIAL ASSURANCE AMOUNT CALCULATION</v>
      </c>
      <c r="B1" s="152"/>
      <c r="C1" s="152"/>
      <c r="E1" s="104" t="str">
        <f>'1...Describe'!G1</f>
        <v>Questa Mine Site</v>
      </c>
      <c r="G1" s="335"/>
      <c r="H1" s="96"/>
      <c r="I1" s="96"/>
      <c r="J1" s="96"/>
      <c r="K1" s="96"/>
      <c r="L1" s="99"/>
      <c r="M1" s="99"/>
      <c r="N1" s="99"/>
    </row>
    <row r="2" spans="1:14" x14ac:dyDescent="0.2">
      <c r="A2" s="152" t="str">
        <f>General!A2</f>
        <v>Chevron Mining Inc.</v>
      </c>
      <c r="B2" s="152"/>
      <c r="C2" s="152"/>
      <c r="E2" s="104" t="s">
        <v>446</v>
      </c>
      <c r="G2" s="99"/>
      <c r="H2" s="96"/>
      <c r="I2" s="96"/>
      <c r="J2" s="96"/>
      <c r="K2" s="96"/>
      <c r="L2" s="99"/>
      <c r="M2" s="99"/>
      <c r="N2" s="99"/>
    </row>
    <row r="3" spans="1:14" x14ac:dyDescent="0.2">
      <c r="A3" s="26" t="s">
        <v>447</v>
      </c>
      <c r="B3" s="152"/>
      <c r="C3" s="152"/>
      <c r="E3" s="114">
        <f>General!$D$2</f>
        <v>37256</v>
      </c>
      <c r="G3" s="99"/>
      <c r="H3" s="99"/>
      <c r="I3" s="381"/>
      <c r="J3" s="99"/>
      <c r="K3" s="99"/>
      <c r="L3" s="99"/>
      <c r="M3" s="99"/>
      <c r="N3" s="99"/>
    </row>
    <row r="4" spans="1:14" x14ac:dyDescent="0.2">
      <c r="A4" s="105" t="s">
        <v>448</v>
      </c>
      <c r="B4" s="152"/>
      <c r="C4" s="152"/>
      <c r="D4" s="106" t="str">
        <f>General!C3</f>
        <v>Updated by Kiewit/AECOM</v>
      </c>
      <c r="E4" s="114">
        <f>General!$D$3</f>
        <v>43419</v>
      </c>
      <c r="G4" s="99"/>
      <c r="H4" s="99"/>
      <c r="I4" s="99"/>
      <c r="J4" s="99"/>
      <c r="K4" s="99"/>
      <c r="L4" s="99"/>
      <c r="M4" s="99"/>
      <c r="N4" s="99"/>
    </row>
    <row r="5" spans="1:14" x14ac:dyDescent="0.2">
      <c r="A5" s="382" t="s">
        <v>865</v>
      </c>
      <c r="B5" s="152"/>
      <c r="C5" s="152"/>
      <c r="D5" s="119"/>
      <c r="E5" s="120"/>
      <c r="G5" s="335"/>
      <c r="H5" s="99"/>
      <c r="I5" s="99"/>
      <c r="J5" s="99"/>
      <c r="K5" s="99"/>
      <c r="L5" s="99"/>
      <c r="M5" s="99"/>
      <c r="N5" s="99"/>
    </row>
    <row r="6" spans="1:14" x14ac:dyDescent="0.2">
      <c r="A6" s="103"/>
      <c r="B6" s="103"/>
      <c r="C6" s="103"/>
      <c r="D6" s="103"/>
      <c r="E6" s="103"/>
      <c r="G6" s="99"/>
      <c r="H6" s="99"/>
      <c r="I6" s="99"/>
      <c r="J6" s="99"/>
      <c r="K6" s="99"/>
      <c r="L6" s="99"/>
      <c r="M6" s="99"/>
      <c r="N6" s="99"/>
    </row>
    <row r="7" spans="1:14" x14ac:dyDescent="0.2">
      <c r="A7" s="26" t="s">
        <v>598</v>
      </c>
      <c r="B7" s="97"/>
      <c r="C7" s="177"/>
      <c r="D7" s="138"/>
      <c r="G7" s="99"/>
      <c r="H7" s="99"/>
      <c r="I7" s="99"/>
      <c r="J7" s="99"/>
      <c r="K7" s="99"/>
      <c r="L7" s="99"/>
      <c r="M7" s="99"/>
      <c r="N7" s="99"/>
    </row>
    <row r="8" spans="1:14" x14ac:dyDescent="0.2">
      <c r="A8" s="26"/>
      <c r="B8" s="97"/>
      <c r="C8" s="177"/>
      <c r="D8" s="138"/>
      <c r="G8" s="99"/>
      <c r="H8" s="99"/>
      <c r="I8" s="99"/>
      <c r="J8" s="99"/>
      <c r="K8" s="99"/>
      <c r="L8" s="99"/>
      <c r="M8" s="99"/>
      <c r="N8" s="99"/>
    </row>
    <row r="9" spans="1:14" x14ac:dyDescent="0.2">
      <c r="A9" s="203" t="s">
        <v>191</v>
      </c>
      <c r="B9" s="97"/>
      <c r="C9" s="177"/>
      <c r="D9" s="138"/>
      <c r="G9" s="99"/>
      <c r="H9" s="99"/>
      <c r="I9" s="99"/>
      <c r="J9" s="99"/>
      <c r="K9" s="99"/>
      <c r="L9" s="99"/>
      <c r="M9" s="99"/>
      <c r="N9" s="99"/>
    </row>
    <row r="10" spans="1:14" x14ac:dyDescent="0.2">
      <c r="A10" s="204" t="s">
        <v>602</v>
      </c>
      <c r="B10" s="34"/>
      <c r="C10" s="9"/>
      <c r="D10" s="265"/>
      <c r="E10" s="99"/>
      <c r="G10" s="99"/>
      <c r="H10" s="99"/>
      <c r="I10" s="99"/>
      <c r="J10" s="99"/>
      <c r="K10" s="99"/>
      <c r="L10" s="99"/>
      <c r="M10" s="99"/>
      <c r="N10" s="99"/>
    </row>
    <row r="11" spans="1:14" x14ac:dyDescent="0.2">
      <c r="A11" s="204" t="s">
        <v>986</v>
      </c>
      <c r="B11" s="34"/>
      <c r="C11" s="9"/>
      <c r="D11" s="265"/>
      <c r="E11" s="99"/>
      <c r="G11" s="99"/>
      <c r="H11" s="99"/>
      <c r="I11" s="99"/>
      <c r="J11" s="99"/>
      <c r="K11" s="99"/>
      <c r="L11" s="99"/>
      <c r="M11" s="99"/>
      <c r="N11" s="99"/>
    </row>
    <row r="12" spans="1:14" x14ac:dyDescent="0.2">
      <c r="A12" s="204"/>
      <c r="B12" s="34"/>
      <c r="C12" s="9"/>
      <c r="D12" s="265"/>
      <c r="E12" s="99"/>
    </row>
    <row r="13" spans="1:14" x14ac:dyDescent="0.2">
      <c r="A13" s="269"/>
      <c r="B13" s="103"/>
      <c r="C13" s="103"/>
      <c r="D13" s="122" t="s">
        <v>235</v>
      </c>
      <c r="E13" s="122" t="s">
        <v>236</v>
      </c>
    </row>
    <row r="14" spans="1:14" x14ac:dyDescent="0.2">
      <c r="B14" s="103"/>
      <c r="C14" s="103"/>
      <c r="D14" s="122" t="s">
        <v>242</v>
      </c>
      <c r="E14" s="122" t="s">
        <v>242</v>
      </c>
    </row>
    <row r="15" spans="1:14" ht="15.75" x14ac:dyDescent="0.25">
      <c r="A15" s="58" t="s">
        <v>445</v>
      </c>
      <c r="B15" s="206" t="s">
        <v>241</v>
      </c>
      <c r="C15" s="206" t="s">
        <v>235</v>
      </c>
      <c r="D15" s="104" t="s">
        <v>246</v>
      </c>
      <c r="E15" s="104" t="s">
        <v>247</v>
      </c>
    </row>
    <row r="16" spans="1:14" x14ac:dyDescent="0.2">
      <c r="A16" s="99" t="s">
        <v>603</v>
      </c>
      <c r="B16" s="213">
        <v>1</v>
      </c>
      <c r="C16" s="327" t="s">
        <v>449</v>
      </c>
      <c r="D16" s="172">
        <v>5400000</v>
      </c>
      <c r="E16" s="172">
        <f t="shared" ref="E16" si="0">B16*D16</f>
        <v>5400000</v>
      </c>
    </row>
    <row r="17" spans="1:5" ht="15.75" x14ac:dyDescent="0.25">
      <c r="B17" s="99"/>
      <c r="C17" s="99"/>
      <c r="D17" s="42" t="s">
        <v>868</v>
      </c>
      <c r="E17" s="43">
        <f>SUM(E16:E16)</f>
        <v>5400000</v>
      </c>
    </row>
    <row r="18" spans="1:5" ht="15.75" thickBot="1" x14ac:dyDescent="0.25">
      <c r="B18" s="99"/>
      <c r="C18" s="99"/>
      <c r="D18" s="36" t="s">
        <v>256</v>
      </c>
      <c r="E18" s="52">
        <f>B28</f>
        <v>527253.30219611176</v>
      </c>
    </row>
    <row r="19" spans="1:5" ht="16.5" thickTop="1" x14ac:dyDescent="0.25">
      <c r="B19" s="99"/>
      <c r="C19" s="99"/>
      <c r="D19" s="42" t="s">
        <v>780</v>
      </c>
      <c r="E19" s="53">
        <f>E18+E17</f>
        <v>5927253.3021961115</v>
      </c>
    </row>
    <row r="20" spans="1:5" x14ac:dyDescent="0.2">
      <c r="B20" s="99"/>
      <c r="C20" s="99"/>
      <c r="D20" s="99"/>
      <c r="E20" s="99"/>
    </row>
    <row r="21" spans="1:5" x14ac:dyDescent="0.2">
      <c r="A21" s="115" t="s">
        <v>421</v>
      </c>
      <c r="B21" s="132">
        <f>'21...Inflation Rate'!G56</f>
        <v>2.3563832784155192E-2</v>
      </c>
      <c r="C21" s="133" t="s">
        <v>257</v>
      </c>
      <c r="D21" s="99"/>
      <c r="E21" s="99"/>
    </row>
    <row r="22" spans="1:5" x14ac:dyDescent="0.2">
      <c r="A22" s="99"/>
      <c r="B22" s="213" t="s">
        <v>259</v>
      </c>
      <c r="C22" s="99"/>
      <c r="D22" s="99"/>
      <c r="E22" s="99"/>
    </row>
    <row r="23" spans="1:5" x14ac:dyDescent="0.2">
      <c r="B23" s="213" t="s">
        <v>260</v>
      </c>
      <c r="C23" s="99"/>
      <c r="D23" s="99"/>
      <c r="E23" s="99"/>
    </row>
    <row r="24" spans="1:5" x14ac:dyDescent="0.2">
      <c r="A24" s="99">
        <v>2015</v>
      </c>
      <c r="B24" s="136">
        <f>SUM($E$17)*B21</f>
        <v>127244.69703443804</v>
      </c>
      <c r="C24" s="99"/>
      <c r="D24" s="99"/>
      <c r="E24" s="99"/>
    </row>
    <row r="25" spans="1:5" x14ac:dyDescent="0.2">
      <c r="A25" s="105">
        <v>2016</v>
      </c>
      <c r="B25" s="136">
        <f>SUM(B24,$E$17)*B21</f>
        <v>130243.06979802802</v>
      </c>
      <c r="C25" s="99"/>
      <c r="D25" s="99"/>
      <c r="E25" s="99"/>
    </row>
    <row r="26" spans="1:5" x14ac:dyDescent="0.2">
      <c r="A26" s="99">
        <v>2017</v>
      </c>
      <c r="B26" s="136">
        <f>SUM($B$24:B25,$E$17)*$B$21</f>
        <v>133312.09571604381</v>
      </c>
      <c r="C26" s="99"/>
      <c r="D26" s="99"/>
      <c r="E26" s="99"/>
    </row>
    <row r="27" spans="1:5" ht="15.75" thickBot="1" x14ac:dyDescent="0.25">
      <c r="A27" s="105">
        <v>2018</v>
      </c>
      <c r="B27" s="136">
        <f>SUM($B$24:B26,$E$17)*$B$21</f>
        <v>136453.43964760195</v>
      </c>
      <c r="C27" s="99"/>
      <c r="D27" s="99"/>
      <c r="E27" s="99"/>
    </row>
    <row r="28" spans="1:5" ht="15.75" thickTop="1" x14ac:dyDescent="0.2">
      <c r="B28" s="137">
        <f>SUM(B24:B27)</f>
        <v>527253.30219611176</v>
      </c>
      <c r="C28" s="45" t="s">
        <v>869</v>
      </c>
      <c r="D28" s="99"/>
      <c r="E28" s="99"/>
    </row>
    <row r="29" spans="1:5" x14ac:dyDescent="0.2">
      <c r="B29" s="214"/>
      <c r="C29" s="133"/>
      <c r="D29" s="99"/>
      <c r="E29" s="99"/>
    </row>
    <row r="30" spans="1:5" x14ac:dyDescent="0.2">
      <c r="A30" s="103"/>
      <c r="B30" s="155"/>
      <c r="C30" s="155"/>
      <c r="D30" s="99"/>
      <c r="E30" s="99"/>
    </row>
    <row r="31" spans="1:5" x14ac:dyDescent="0.2">
      <c r="A31" s="103" t="s">
        <v>258</v>
      </c>
      <c r="B31" s="96"/>
      <c r="C31" s="96"/>
      <c r="D31" s="99"/>
      <c r="E31" s="99"/>
    </row>
    <row r="32" spans="1:5" x14ac:dyDescent="0.2">
      <c r="A32" s="10" t="s">
        <v>870</v>
      </c>
      <c r="B32" s="103"/>
      <c r="C32" s="103"/>
    </row>
  </sheetData>
  <printOptions horizontalCentered="1"/>
  <pageMargins left="0.35" right="0.3" top="0.66" bottom="0.72" header="0.5" footer="0.5"/>
  <pageSetup scale="5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AB190"/>
  <sheetViews>
    <sheetView workbookViewId="0"/>
  </sheetViews>
  <sheetFormatPr defaultColWidth="12.5703125" defaultRowHeight="15" x14ac:dyDescent="0.2"/>
  <cols>
    <col min="1" max="1" width="64.28515625" style="105" customWidth="1"/>
    <col min="2" max="2" width="13.140625" style="105" customWidth="1"/>
    <col min="3" max="3" width="13" style="105" customWidth="1"/>
    <col min="4" max="4" width="17.28515625" style="105" customWidth="1"/>
    <col min="5" max="5" width="14.85546875" style="105" customWidth="1"/>
    <col min="6" max="6" width="15.7109375" style="105" customWidth="1"/>
    <col min="7" max="7" width="13.7109375" style="105" customWidth="1"/>
    <col min="8" max="8" width="19.140625" style="105" customWidth="1"/>
    <col min="9" max="9" width="11.140625" style="105" customWidth="1"/>
    <col min="10" max="10" width="13.42578125" style="105" customWidth="1"/>
    <col min="11" max="15" width="12.5703125" style="105"/>
    <col min="16" max="16" width="17.28515625" style="105" customWidth="1"/>
    <col min="17" max="18" width="12.5703125" style="105"/>
    <col min="19" max="19" width="15.85546875" style="105" bestFit="1" customWidth="1"/>
    <col min="20" max="16384" width="12.5703125" style="105"/>
  </cols>
  <sheetData>
    <row r="1" spans="1:28" x14ac:dyDescent="0.2">
      <c r="A1" s="152" t="str">
        <f>General!A1</f>
        <v>FINANCIAL ASSURANCE AMOUNT CALCULATION</v>
      </c>
      <c r="B1" s="152"/>
      <c r="C1" s="152"/>
      <c r="D1" s="152"/>
      <c r="G1" s="103"/>
      <c r="H1" s="103"/>
      <c r="I1" s="103"/>
      <c r="J1" s="103"/>
      <c r="K1" s="103"/>
      <c r="L1" s="103"/>
      <c r="M1" s="103"/>
      <c r="N1" s="103"/>
      <c r="P1" s="104" t="str">
        <f>'1...Describe'!G1</f>
        <v>Questa Mine Site</v>
      </c>
      <c r="Q1" s="103"/>
      <c r="R1" s="335"/>
      <c r="S1" s="99"/>
      <c r="T1" s="99"/>
      <c r="U1" s="99"/>
      <c r="V1" s="99"/>
      <c r="W1" s="99"/>
      <c r="X1" s="99"/>
      <c r="Y1" s="99"/>
      <c r="Z1" s="99"/>
      <c r="AA1" s="99"/>
      <c r="AB1" s="99"/>
    </row>
    <row r="2" spans="1:28" x14ac:dyDescent="0.2">
      <c r="A2" s="152" t="str">
        <f>General!A2</f>
        <v>Chevron Mining Inc.</v>
      </c>
      <c r="B2" s="152"/>
      <c r="C2" s="152"/>
      <c r="D2" s="152"/>
      <c r="G2" s="103"/>
      <c r="H2" s="103"/>
      <c r="I2" s="103"/>
      <c r="J2" s="103"/>
      <c r="K2" s="103"/>
      <c r="L2" s="103"/>
      <c r="M2" s="103"/>
      <c r="N2" s="103"/>
      <c r="P2" s="104" t="s">
        <v>450</v>
      </c>
      <c r="Q2" s="103"/>
      <c r="R2" s="99"/>
      <c r="S2" s="99"/>
      <c r="T2" s="99"/>
      <c r="U2" s="99"/>
      <c r="V2" s="99"/>
      <c r="W2" s="99"/>
      <c r="X2" s="99"/>
      <c r="Y2" s="99"/>
      <c r="Z2" s="99"/>
      <c r="AA2" s="99"/>
      <c r="AB2" s="99"/>
    </row>
    <row r="3" spans="1:28" x14ac:dyDescent="0.2">
      <c r="A3" s="26" t="s">
        <v>451</v>
      </c>
      <c r="B3" s="152"/>
      <c r="C3" s="152"/>
      <c r="D3" s="152"/>
      <c r="G3" s="103"/>
      <c r="H3" s="103"/>
      <c r="I3" s="103"/>
      <c r="J3" s="103"/>
      <c r="K3" s="103"/>
      <c r="L3" s="103"/>
      <c r="M3" s="103"/>
      <c r="N3" s="103"/>
      <c r="P3" s="107">
        <f>General!$D$2</f>
        <v>37256</v>
      </c>
      <c r="Q3" s="103"/>
      <c r="R3" s="99"/>
      <c r="S3" s="99"/>
      <c r="T3" s="99"/>
      <c r="U3" s="99"/>
      <c r="V3" s="99"/>
      <c r="W3" s="99"/>
      <c r="X3" s="99"/>
      <c r="Y3" s="99"/>
      <c r="Z3" s="99"/>
      <c r="AA3" s="99"/>
      <c r="AB3" s="99"/>
    </row>
    <row r="4" spans="1:28" x14ac:dyDescent="0.2">
      <c r="A4" s="152"/>
      <c r="B4" s="152"/>
      <c r="C4" s="152"/>
      <c r="D4" s="152"/>
      <c r="G4" s="103"/>
      <c r="H4" s="103"/>
      <c r="I4" s="103"/>
      <c r="J4" s="103"/>
      <c r="K4" s="103"/>
      <c r="L4" s="103"/>
      <c r="M4" s="103"/>
      <c r="N4" s="103"/>
      <c r="O4" s="106" t="str">
        <f>General!C3</f>
        <v>Updated by Kiewit/AECOM</v>
      </c>
      <c r="P4" s="114">
        <f>General!$D$3</f>
        <v>43419</v>
      </c>
      <c r="Q4" s="103"/>
      <c r="R4" s="99"/>
      <c r="S4" s="99"/>
      <c r="T4" s="99"/>
      <c r="U4" s="99"/>
      <c r="V4" s="99"/>
      <c r="W4" s="99"/>
      <c r="X4" s="99"/>
      <c r="Y4" s="99"/>
      <c r="Z4" s="99"/>
      <c r="AA4" s="99"/>
      <c r="AB4" s="99"/>
    </row>
    <row r="5" spans="1:28" x14ac:dyDescent="0.2">
      <c r="A5" s="103"/>
      <c r="B5" s="103"/>
      <c r="C5" s="103"/>
      <c r="D5" s="103"/>
      <c r="E5" s="103"/>
      <c r="F5" s="122" t="s">
        <v>232</v>
      </c>
      <c r="G5" s="103"/>
      <c r="H5" s="103"/>
      <c r="I5" s="103"/>
      <c r="J5" s="103"/>
      <c r="K5" s="103"/>
      <c r="L5" s="103"/>
      <c r="M5" s="103"/>
      <c r="N5" s="103"/>
      <c r="O5" s="103"/>
      <c r="P5" s="103"/>
      <c r="Q5" s="103"/>
      <c r="R5" s="335"/>
      <c r="S5" s="99"/>
      <c r="T5" s="99"/>
      <c r="U5" s="99"/>
      <c r="V5" s="99"/>
      <c r="W5" s="99"/>
      <c r="X5" s="99"/>
      <c r="Y5" s="99"/>
      <c r="Z5" s="99"/>
      <c r="AA5" s="99"/>
      <c r="AB5" s="99"/>
    </row>
    <row r="6" spans="1:28" x14ac:dyDescent="0.2">
      <c r="A6" s="96"/>
      <c r="B6" s="96"/>
      <c r="C6" s="96"/>
      <c r="D6" s="98" t="s">
        <v>235</v>
      </c>
      <c r="E6" s="98" t="s">
        <v>236</v>
      </c>
      <c r="F6" s="98" t="s">
        <v>236</v>
      </c>
      <c r="G6" s="96"/>
      <c r="H6" s="103"/>
      <c r="I6" s="103"/>
      <c r="J6" s="103"/>
      <c r="K6" s="103"/>
      <c r="L6" s="103"/>
      <c r="M6" s="103"/>
      <c r="N6" s="103"/>
      <c r="O6" s="103"/>
      <c r="P6" s="103"/>
      <c r="Q6" s="103"/>
      <c r="R6" s="99"/>
      <c r="S6" s="99"/>
      <c r="T6" s="99"/>
      <c r="U6" s="99"/>
      <c r="V6" s="99"/>
      <c r="W6" s="99"/>
      <c r="X6" s="99"/>
      <c r="Y6" s="99"/>
      <c r="Z6" s="99"/>
      <c r="AA6" s="99"/>
      <c r="AB6" s="99"/>
    </row>
    <row r="7" spans="1:28" ht="15.75" x14ac:dyDescent="0.25">
      <c r="A7" s="384" t="s">
        <v>452</v>
      </c>
      <c r="B7" s="96"/>
      <c r="C7" s="96"/>
      <c r="D7" s="98" t="s">
        <v>242</v>
      </c>
      <c r="E7" s="98" t="s">
        <v>242</v>
      </c>
      <c r="F7" s="98" t="s">
        <v>242</v>
      </c>
      <c r="G7" s="96"/>
      <c r="H7" s="103" t="s">
        <v>243</v>
      </c>
      <c r="I7" s="103"/>
      <c r="J7" s="208"/>
      <c r="K7" s="103"/>
      <c r="L7" s="103"/>
      <c r="M7" s="103"/>
      <c r="N7" s="103"/>
      <c r="O7" s="103"/>
      <c r="P7" s="103"/>
      <c r="Q7" s="103"/>
      <c r="R7" s="99"/>
      <c r="S7" s="99"/>
      <c r="T7" s="99"/>
      <c r="U7" s="99"/>
      <c r="V7" s="99"/>
      <c r="W7" s="99"/>
      <c r="X7" s="99"/>
      <c r="Y7" s="99"/>
      <c r="Z7" s="99"/>
      <c r="AA7" s="99"/>
      <c r="AB7" s="99"/>
    </row>
    <row r="8" spans="1:28" x14ac:dyDescent="0.2">
      <c r="A8" s="99"/>
      <c r="B8" s="97" t="s">
        <v>241</v>
      </c>
      <c r="C8" s="97" t="s">
        <v>235</v>
      </c>
      <c r="D8" s="153" t="s">
        <v>246</v>
      </c>
      <c r="E8" s="153" t="s">
        <v>247</v>
      </c>
      <c r="F8" s="153" t="s">
        <v>247</v>
      </c>
      <c r="G8" s="96" t="s">
        <v>248</v>
      </c>
      <c r="H8" s="103" t="s">
        <v>249</v>
      </c>
      <c r="I8" s="103" t="s">
        <v>237</v>
      </c>
      <c r="J8" s="103"/>
      <c r="K8" s="103"/>
      <c r="L8" s="103"/>
      <c r="M8" s="103"/>
      <c r="N8" s="103"/>
      <c r="O8" s="103"/>
      <c r="P8" s="103"/>
      <c r="Q8" s="103"/>
      <c r="R8" s="99"/>
      <c r="S8" s="99"/>
      <c r="T8" s="99"/>
      <c r="U8" s="99"/>
      <c r="V8" s="99"/>
      <c r="W8" s="99"/>
      <c r="X8" s="99"/>
      <c r="Y8" s="99"/>
      <c r="Z8" s="99"/>
      <c r="AA8" s="99"/>
      <c r="AB8" s="99"/>
    </row>
    <row r="9" spans="1:28" ht="15.75" x14ac:dyDescent="0.25">
      <c r="A9" s="385" t="s">
        <v>784</v>
      </c>
      <c r="B9" s="99"/>
      <c r="C9" s="99"/>
      <c r="D9" s="99"/>
      <c r="E9" s="99"/>
      <c r="F9" s="99"/>
      <c r="G9" s="96"/>
      <c r="H9" s="103"/>
      <c r="I9" s="103"/>
      <c r="J9" s="103"/>
      <c r="K9" s="103"/>
      <c r="L9" s="103"/>
      <c r="M9" s="103"/>
      <c r="N9" s="103"/>
      <c r="O9" s="103"/>
      <c r="P9" s="103"/>
      <c r="Q9" s="103"/>
      <c r="R9" s="335"/>
      <c r="S9" s="99"/>
      <c r="T9" s="99"/>
      <c r="U9" s="99"/>
      <c r="V9" s="99"/>
      <c r="W9" s="99"/>
      <c r="X9" s="99"/>
      <c r="Y9" s="99"/>
      <c r="Z9" s="99"/>
      <c r="AA9" s="99"/>
      <c r="AB9" s="99"/>
    </row>
    <row r="10" spans="1:28" x14ac:dyDescent="0.2">
      <c r="A10" s="99" t="s">
        <v>785</v>
      </c>
      <c r="B10" s="150">
        <v>284229</v>
      </c>
      <c r="C10" s="97" t="s">
        <v>792</v>
      </c>
      <c r="D10" s="209">
        <v>2.96424530592</v>
      </c>
      <c r="E10" s="164">
        <f t="shared" ref="E10:E16" si="0">B10*D10</f>
        <v>842524.47905633564</v>
      </c>
      <c r="F10" s="150">
        <f t="shared" ref="F10:F16" si="1">E10</f>
        <v>842524.47905633564</v>
      </c>
      <c r="G10" s="96"/>
      <c r="H10" s="103"/>
      <c r="I10" s="103"/>
      <c r="J10" s="103"/>
      <c r="K10" s="103"/>
      <c r="L10" s="103"/>
      <c r="M10" s="103"/>
      <c r="N10" s="103"/>
      <c r="O10" s="103"/>
      <c r="P10" s="103"/>
      <c r="Q10" s="103"/>
      <c r="R10" s="99"/>
      <c r="S10" s="99"/>
      <c r="T10" s="99"/>
      <c r="U10" s="99"/>
      <c r="V10" s="99"/>
      <c r="W10" s="99"/>
      <c r="X10" s="99"/>
      <c r="Y10" s="99"/>
      <c r="Z10" s="99"/>
      <c r="AA10" s="99"/>
      <c r="AB10" s="99"/>
    </row>
    <row r="11" spans="1:28" x14ac:dyDescent="0.2">
      <c r="A11" s="99" t="s">
        <v>786</v>
      </c>
      <c r="B11" s="150">
        <v>22988</v>
      </c>
      <c r="C11" s="97" t="s">
        <v>736</v>
      </c>
      <c r="D11" s="209">
        <v>435.94574734644164</v>
      </c>
      <c r="E11" s="164">
        <f t="shared" si="0"/>
        <v>10021520.84</v>
      </c>
      <c r="F11" s="150">
        <f t="shared" si="1"/>
        <v>10021520.84</v>
      </c>
      <c r="G11" s="96"/>
      <c r="H11" s="103"/>
      <c r="I11" s="103"/>
      <c r="J11" s="103"/>
      <c r="K11" s="103"/>
      <c r="L11" s="103"/>
      <c r="M11" s="103"/>
      <c r="N11" s="103"/>
      <c r="O11" s="103"/>
      <c r="P11" s="103"/>
      <c r="Q11" s="103"/>
      <c r="R11" s="99"/>
      <c r="S11" s="99"/>
      <c r="T11" s="99"/>
      <c r="U11" s="99"/>
      <c r="V11" s="99"/>
      <c r="W11" s="99"/>
      <c r="X11" s="99"/>
      <c r="Y11" s="99"/>
      <c r="Z11" s="99"/>
      <c r="AA11" s="99"/>
      <c r="AB11" s="99"/>
    </row>
    <row r="12" spans="1:28" x14ac:dyDescent="0.2">
      <c r="A12" s="99" t="s">
        <v>787</v>
      </c>
      <c r="B12" s="150">
        <v>42243</v>
      </c>
      <c r="C12" s="97" t="s">
        <v>736</v>
      </c>
      <c r="D12" s="209">
        <v>42.806622635702958</v>
      </c>
      <c r="E12" s="164">
        <f t="shared" si="0"/>
        <v>1808280.1600000001</v>
      </c>
      <c r="F12" s="150">
        <f t="shared" si="1"/>
        <v>1808280.1600000001</v>
      </c>
      <c r="G12" s="96"/>
      <c r="H12" s="103"/>
      <c r="I12" s="103"/>
      <c r="J12" s="103"/>
      <c r="K12" s="103"/>
      <c r="L12" s="103"/>
      <c r="M12" s="103"/>
      <c r="N12" s="103"/>
      <c r="O12" s="103"/>
      <c r="P12" s="103"/>
      <c r="Q12" s="103"/>
      <c r="R12" s="99"/>
      <c r="S12" s="99"/>
      <c r="T12" s="99"/>
      <c r="U12" s="99"/>
      <c r="V12" s="99"/>
      <c r="W12" s="99"/>
      <c r="X12" s="99"/>
      <c r="Y12" s="99"/>
      <c r="Z12" s="99"/>
      <c r="AA12" s="99"/>
      <c r="AB12" s="99"/>
    </row>
    <row r="13" spans="1:28" x14ac:dyDescent="0.2">
      <c r="A13" s="99" t="s">
        <v>788</v>
      </c>
      <c r="B13" s="150">
        <v>20037</v>
      </c>
      <c r="C13" s="97" t="s">
        <v>736</v>
      </c>
      <c r="D13" s="209">
        <v>380.9318390976693</v>
      </c>
      <c r="E13" s="164">
        <f t="shared" si="0"/>
        <v>7632731.2599999998</v>
      </c>
      <c r="F13" s="150">
        <f t="shared" si="1"/>
        <v>7632731.2599999998</v>
      </c>
      <c r="G13" s="96"/>
      <c r="H13" s="103"/>
      <c r="I13" s="103"/>
      <c r="J13" s="103"/>
      <c r="K13" s="103"/>
      <c r="L13" s="103"/>
      <c r="M13" s="103"/>
      <c r="N13" s="103"/>
      <c r="O13" s="103"/>
      <c r="P13" s="103"/>
      <c r="Q13" s="103"/>
      <c r="R13" s="99"/>
      <c r="S13" s="99"/>
      <c r="T13" s="99"/>
      <c r="U13" s="99"/>
      <c r="V13" s="99"/>
      <c r="W13" s="99"/>
      <c r="X13" s="99"/>
      <c r="Y13" s="99"/>
      <c r="Z13" s="99"/>
      <c r="AA13" s="99"/>
      <c r="AB13" s="99"/>
    </row>
    <row r="14" spans="1:28" x14ac:dyDescent="0.2">
      <c r="A14" s="99" t="s">
        <v>789</v>
      </c>
      <c r="B14" s="150">
        <v>5824</v>
      </c>
      <c r="C14" s="97" t="s">
        <v>736</v>
      </c>
      <c r="D14" s="209">
        <v>363.14849072802201</v>
      </c>
      <c r="E14" s="164">
        <f t="shared" si="0"/>
        <v>2114976.81</v>
      </c>
      <c r="F14" s="150">
        <f t="shared" si="1"/>
        <v>2114976.81</v>
      </c>
      <c r="G14" s="96"/>
      <c r="H14" s="103"/>
      <c r="I14" s="103"/>
      <c r="J14" s="103"/>
      <c r="K14" s="103"/>
      <c r="L14" s="103"/>
      <c r="M14" s="103"/>
      <c r="N14" s="103"/>
      <c r="O14" s="103"/>
      <c r="P14" s="103"/>
      <c r="Q14" s="103"/>
      <c r="R14" s="99"/>
      <c r="S14" s="99"/>
      <c r="T14" s="99"/>
      <c r="U14" s="99"/>
      <c r="V14" s="99"/>
      <c r="W14" s="99"/>
      <c r="X14" s="99"/>
      <c r="Y14" s="99"/>
      <c r="Z14" s="99"/>
      <c r="AA14" s="99"/>
      <c r="AB14" s="99"/>
    </row>
    <row r="15" spans="1:28" x14ac:dyDescent="0.2">
      <c r="A15" s="99" t="s">
        <v>790</v>
      </c>
      <c r="B15" s="150">
        <v>5</v>
      </c>
      <c r="C15" s="97" t="s">
        <v>793</v>
      </c>
      <c r="D15" s="209">
        <v>1000000</v>
      </c>
      <c r="E15" s="164">
        <f t="shared" si="0"/>
        <v>5000000</v>
      </c>
      <c r="F15" s="150">
        <f t="shared" si="1"/>
        <v>5000000</v>
      </c>
      <c r="G15" s="96"/>
      <c r="H15" s="103"/>
      <c r="I15" s="103"/>
      <c r="J15" s="103"/>
      <c r="K15" s="103"/>
      <c r="L15" s="103"/>
      <c r="M15" s="103"/>
      <c r="N15" s="103"/>
      <c r="O15" s="103"/>
      <c r="P15" s="103"/>
      <c r="Q15" s="103"/>
      <c r="R15" s="99"/>
      <c r="S15" s="99"/>
      <c r="T15" s="99"/>
      <c r="U15" s="99"/>
      <c r="V15" s="99"/>
      <c r="W15" s="99"/>
      <c r="X15" s="99"/>
      <c r="Y15" s="99"/>
      <c r="Z15" s="99"/>
      <c r="AA15" s="99"/>
      <c r="AB15" s="99"/>
    </row>
    <row r="16" spans="1:28" ht="15.75" thickBot="1" x14ac:dyDescent="0.25">
      <c r="A16" s="99" t="s">
        <v>791</v>
      </c>
      <c r="B16" s="150">
        <v>5</v>
      </c>
      <c r="C16" s="97" t="s">
        <v>793</v>
      </c>
      <c r="D16" s="209">
        <v>500000</v>
      </c>
      <c r="E16" s="164">
        <f t="shared" si="0"/>
        <v>2500000</v>
      </c>
      <c r="F16" s="150">
        <f t="shared" si="1"/>
        <v>2500000</v>
      </c>
      <c r="G16" s="96"/>
      <c r="H16" s="103"/>
      <c r="I16" s="103"/>
      <c r="J16" s="103"/>
      <c r="K16" s="103"/>
      <c r="L16" s="103"/>
      <c r="M16" s="103"/>
      <c r="N16" s="103"/>
      <c r="O16" s="103"/>
      <c r="P16" s="103"/>
      <c r="Q16" s="103"/>
      <c r="R16" s="99"/>
      <c r="S16" s="99"/>
      <c r="T16" s="99"/>
      <c r="U16" s="99"/>
      <c r="V16" s="99"/>
      <c r="W16" s="99"/>
      <c r="X16" s="99"/>
      <c r="Y16" s="99"/>
      <c r="Z16" s="99"/>
      <c r="AA16" s="99"/>
      <c r="AB16" s="99"/>
    </row>
    <row r="17" spans="1:17" ht="16.5" thickTop="1" x14ac:dyDescent="0.25">
      <c r="A17" s="99"/>
      <c r="B17" s="97"/>
      <c r="C17" s="97"/>
      <c r="D17" s="153"/>
      <c r="E17" s="42" t="s">
        <v>725</v>
      </c>
      <c r="F17" s="53">
        <f>SUM(F10:F16)</f>
        <v>29920033.549056333</v>
      </c>
      <c r="G17" s="96"/>
      <c r="H17" s="103"/>
      <c r="I17" s="103"/>
      <c r="J17" s="103"/>
      <c r="K17" s="103"/>
      <c r="L17" s="103"/>
      <c r="M17" s="103"/>
      <c r="N17" s="103"/>
      <c r="O17" s="103"/>
      <c r="P17" s="103"/>
      <c r="Q17" s="103"/>
    </row>
    <row r="18" spans="1:17" x14ac:dyDescent="0.2">
      <c r="A18" s="99"/>
      <c r="B18" s="97"/>
      <c r="C18" s="97"/>
      <c r="D18" s="153"/>
      <c r="E18" s="386" t="s">
        <v>260</v>
      </c>
      <c r="F18" s="334">
        <f>F17*'21...Inflation Rate'!$G$56</f>
        <v>705030.66744627687</v>
      </c>
      <c r="G18" s="96"/>
      <c r="H18" s="103"/>
      <c r="I18" s="103"/>
      <c r="J18" s="103"/>
      <c r="K18" s="103"/>
      <c r="L18" s="103"/>
      <c r="M18" s="103"/>
      <c r="N18" s="103"/>
      <c r="O18" s="103"/>
      <c r="P18" s="103"/>
      <c r="Q18" s="103"/>
    </row>
    <row r="19" spans="1:17" ht="15.75" x14ac:dyDescent="0.25">
      <c r="A19" s="99"/>
      <c r="B19" s="97"/>
      <c r="C19" s="97"/>
      <c r="D19" s="153"/>
      <c r="E19" s="42" t="s">
        <v>780</v>
      </c>
      <c r="F19" s="387">
        <f>F17+F18</f>
        <v>30625064.216502611</v>
      </c>
      <c r="G19" s="96"/>
      <c r="H19" s="103"/>
      <c r="I19" s="103"/>
      <c r="J19" s="103"/>
      <c r="K19" s="103"/>
      <c r="L19" s="103"/>
      <c r="M19" s="103"/>
      <c r="N19" s="103"/>
      <c r="O19" s="103"/>
      <c r="P19" s="103"/>
      <c r="Q19" s="103"/>
    </row>
    <row r="20" spans="1:17" x14ac:dyDescent="0.2">
      <c r="A20" s="99"/>
      <c r="B20" s="97"/>
      <c r="C20" s="97"/>
      <c r="D20" s="153"/>
      <c r="E20" s="153"/>
      <c r="F20" s="153"/>
      <c r="G20" s="96"/>
      <c r="H20" s="103"/>
      <c r="I20" s="103"/>
      <c r="J20" s="103"/>
      <c r="K20" s="103"/>
      <c r="L20" s="103"/>
      <c r="M20" s="103"/>
      <c r="N20" s="103"/>
      <c r="O20" s="103"/>
      <c r="P20" s="103"/>
      <c r="Q20" s="103"/>
    </row>
    <row r="21" spans="1:17" ht="15.75" x14ac:dyDescent="0.25">
      <c r="A21" s="385" t="s">
        <v>733</v>
      </c>
      <c r="B21" s="99"/>
      <c r="C21" s="99"/>
      <c r="D21" s="99"/>
      <c r="E21" s="99"/>
      <c r="F21" s="99"/>
      <c r="G21" s="96"/>
      <c r="H21" s="103"/>
      <c r="I21" s="103"/>
      <c r="J21" s="103"/>
      <c r="K21" s="103"/>
      <c r="L21" s="103"/>
      <c r="M21" s="103"/>
      <c r="N21" s="103"/>
      <c r="O21" s="103"/>
      <c r="P21" s="103"/>
      <c r="Q21" s="103"/>
    </row>
    <row r="22" spans="1:17" x14ac:dyDescent="0.2">
      <c r="A22" s="96" t="s">
        <v>732</v>
      </c>
      <c r="B22" s="150">
        <v>100000</v>
      </c>
      <c r="C22" s="97" t="s">
        <v>416</v>
      </c>
      <c r="D22" s="209">
        <v>9</v>
      </c>
      <c r="E22" s="164">
        <f t="shared" ref="E22:E25" si="2">B22*D22</f>
        <v>900000</v>
      </c>
      <c r="F22" s="150">
        <f t="shared" ref="F22:F25" si="3">E22</f>
        <v>900000</v>
      </c>
      <c r="G22" s="96"/>
      <c r="H22" s="103"/>
      <c r="I22" s="103"/>
      <c r="J22" s="103"/>
      <c r="K22" s="103"/>
      <c r="L22" s="103"/>
      <c r="M22" s="103"/>
      <c r="N22" s="103"/>
      <c r="O22" s="103"/>
      <c r="P22" s="103"/>
      <c r="Q22" s="103"/>
    </row>
    <row r="23" spans="1:17" x14ac:dyDescent="0.2">
      <c r="A23" s="96" t="s">
        <v>734</v>
      </c>
      <c r="B23" s="150">
        <v>55669</v>
      </c>
      <c r="C23" s="97" t="s">
        <v>416</v>
      </c>
      <c r="D23" s="209">
        <v>9</v>
      </c>
      <c r="E23" s="164">
        <f t="shared" si="2"/>
        <v>501021</v>
      </c>
      <c r="F23" s="150">
        <f t="shared" si="3"/>
        <v>501021</v>
      </c>
      <c r="G23" s="96"/>
      <c r="H23" s="103"/>
      <c r="I23" s="103"/>
      <c r="J23" s="103"/>
      <c r="K23" s="103"/>
      <c r="L23" s="103"/>
      <c r="M23" s="103"/>
      <c r="N23" s="103"/>
      <c r="O23" s="103"/>
      <c r="P23" s="103"/>
      <c r="Q23" s="103"/>
    </row>
    <row r="24" spans="1:17" x14ac:dyDescent="0.2">
      <c r="A24" s="96" t="s">
        <v>735</v>
      </c>
      <c r="B24" s="150">
        <v>100</v>
      </c>
      <c r="C24" s="97" t="s">
        <v>736</v>
      </c>
      <c r="D24" s="209">
        <v>18</v>
      </c>
      <c r="E24" s="164">
        <f t="shared" si="2"/>
        <v>1800</v>
      </c>
      <c r="F24" s="150">
        <f t="shared" si="3"/>
        <v>1800</v>
      </c>
      <c r="G24" s="96"/>
      <c r="H24" s="103"/>
      <c r="I24" s="103"/>
      <c r="J24" s="103"/>
      <c r="K24" s="103"/>
      <c r="L24" s="103"/>
      <c r="M24" s="103"/>
      <c r="N24" s="103"/>
      <c r="O24" s="103"/>
      <c r="P24" s="103"/>
      <c r="Q24" s="103"/>
    </row>
    <row r="25" spans="1:17" ht="15.75" thickBot="1" x14ac:dyDescent="0.25">
      <c r="A25" s="96" t="s">
        <v>737</v>
      </c>
      <c r="B25" s="150">
        <v>10000</v>
      </c>
      <c r="C25" s="97" t="s">
        <v>416</v>
      </c>
      <c r="D25" s="209">
        <v>9</v>
      </c>
      <c r="E25" s="164">
        <f t="shared" si="2"/>
        <v>90000</v>
      </c>
      <c r="F25" s="150">
        <f t="shared" si="3"/>
        <v>90000</v>
      </c>
      <c r="G25" s="96"/>
      <c r="H25" s="103"/>
      <c r="I25" s="103"/>
      <c r="J25" s="103"/>
      <c r="K25" s="103"/>
      <c r="L25" s="103"/>
      <c r="M25" s="103"/>
      <c r="N25" s="103"/>
      <c r="O25" s="103"/>
      <c r="P25" s="103"/>
      <c r="Q25" s="103"/>
    </row>
    <row r="26" spans="1:17" ht="16.5" thickTop="1" x14ac:dyDescent="0.25">
      <c r="A26" s="96"/>
      <c r="B26" s="150"/>
      <c r="C26" s="97"/>
      <c r="D26" s="209"/>
      <c r="E26" s="42" t="s">
        <v>725</v>
      </c>
      <c r="F26" s="53">
        <f>SUM(F22:F25)</f>
        <v>1492821</v>
      </c>
      <c r="G26" s="96"/>
      <c r="H26" s="103"/>
      <c r="I26" s="103"/>
      <c r="J26" s="103"/>
      <c r="K26" s="103"/>
      <c r="L26" s="103"/>
      <c r="M26" s="103"/>
      <c r="N26" s="103"/>
      <c r="O26" s="103"/>
      <c r="P26" s="103"/>
      <c r="Q26" s="103"/>
    </row>
    <row r="27" spans="1:17" x14ac:dyDescent="0.2">
      <c r="A27" s="96"/>
      <c r="B27" s="150"/>
      <c r="C27" s="97"/>
      <c r="D27" s="153"/>
      <c r="E27" s="386" t="s">
        <v>260</v>
      </c>
      <c r="F27" s="334">
        <f>F26*'21...Inflation Rate'!$G$56</f>
        <v>35176.584420675339</v>
      </c>
      <c r="G27" s="96"/>
      <c r="H27" s="103"/>
      <c r="I27" s="103"/>
      <c r="J27" s="103"/>
      <c r="K27" s="103"/>
      <c r="L27" s="103"/>
      <c r="M27" s="103"/>
      <c r="N27" s="103"/>
      <c r="O27" s="103"/>
      <c r="P27" s="103"/>
      <c r="Q27" s="103"/>
    </row>
    <row r="28" spans="1:17" ht="15.75" x14ac:dyDescent="0.25">
      <c r="A28" s="96"/>
      <c r="B28" s="150"/>
      <c r="C28" s="97"/>
      <c r="D28" s="153"/>
      <c r="E28" s="42" t="s">
        <v>780</v>
      </c>
      <c r="F28" s="387">
        <f>F26+F27</f>
        <v>1527997.5844206754</v>
      </c>
      <c r="G28" s="96"/>
      <c r="H28" s="103"/>
      <c r="I28" s="103"/>
      <c r="J28" s="103"/>
      <c r="K28" s="103"/>
      <c r="L28" s="103"/>
      <c r="M28" s="103"/>
      <c r="N28" s="103"/>
      <c r="O28" s="103"/>
      <c r="P28" s="103"/>
      <c r="Q28" s="103"/>
    </row>
    <row r="29" spans="1:17" x14ac:dyDescent="0.2">
      <c r="A29" s="96"/>
      <c r="B29" s="150"/>
      <c r="C29" s="97"/>
      <c r="D29" s="209"/>
      <c r="E29" s="164"/>
      <c r="F29" s="150"/>
      <c r="G29" s="96"/>
      <c r="H29" s="103"/>
      <c r="I29" s="103"/>
      <c r="J29" s="103"/>
      <c r="K29" s="103"/>
      <c r="L29" s="103"/>
      <c r="M29" s="103"/>
      <c r="N29" s="103"/>
      <c r="O29" s="103"/>
      <c r="P29" s="103"/>
      <c r="Q29" s="103"/>
    </row>
    <row r="30" spans="1:17" ht="15.75" x14ac:dyDescent="0.25">
      <c r="A30" s="385" t="s">
        <v>738</v>
      </c>
      <c r="B30" s="150"/>
      <c r="C30" s="97"/>
      <c r="D30" s="209"/>
      <c r="E30" s="164"/>
      <c r="F30" s="150"/>
      <c r="G30" s="96"/>
      <c r="H30" s="103"/>
      <c r="I30" s="103"/>
      <c r="J30" s="103"/>
      <c r="K30" s="103"/>
      <c r="L30" s="103"/>
      <c r="M30" s="103"/>
      <c r="N30" s="103"/>
      <c r="O30" s="103"/>
      <c r="P30" s="103"/>
      <c r="Q30" s="103"/>
    </row>
    <row r="31" spans="1:17" x14ac:dyDescent="0.2">
      <c r="A31" s="96" t="s">
        <v>739</v>
      </c>
      <c r="B31" s="150">
        <v>36400000</v>
      </c>
      <c r="C31" s="97" t="s">
        <v>416</v>
      </c>
      <c r="D31" s="209">
        <v>0.11545442554945054</v>
      </c>
      <c r="E31" s="164">
        <f t="shared" ref="E31:E48" si="4">D31*B31</f>
        <v>4202541.09</v>
      </c>
      <c r="F31" s="150">
        <f t="shared" ref="F31:F38" si="5">E31</f>
        <v>4202541.09</v>
      </c>
      <c r="G31" s="96"/>
      <c r="H31" s="103"/>
      <c r="I31" s="103"/>
      <c r="J31" s="103"/>
      <c r="K31" s="103"/>
      <c r="L31" s="103"/>
      <c r="M31" s="103"/>
      <c r="N31" s="103"/>
      <c r="O31" s="103"/>
      <c r="P31" s="103"/>
      <c r="Q31" s="103"/>
    </row>
    <row r="32" spans="1:17" x14ac:dyDescent="0.2">
      <c r="A32" s="96" t="s">
        <v>740</v>
      </c>
      <c r="B32" s="303">
        <v>131.31</v>
      </c>
      <c r="C32" s="97" t="s">
        <v>741</v>
      </c>
      <c r="D32" s="209">
        <v>24780.52</v>
      </c>
      <c r="E32" s="164">
        <f t="shared" si="4"/>
        <v>3253930.0811999999</v>
      </c>
      <c r="F32" s="150">
        <f t="shared" si="5"/>
        <v>3253930.0811999999</v>
      </c>
      <c r="G32" s="96"/>
      <c r="H32" s="103"/>
      <c r="I32" s="103"/>
      <c r="J32" s="103"/>
      <c r="K32" s="103"/>
      <c r="L32" s="103"/>
      <c r="M32" s="103"/>
      <c r="N32" s="103"/>
      <c r="O32" s="103"/>
      <c r="P32" s="103"/>
      <c r="Q32" s="103"/>
    </row>
    <row r="33" spans="1:17" x14ac:dyDescent="0.2">
      <c r="A33" s="96" t="s">
        <v>742</v>
      </c>
      <c r="B33" s="150">
        <v>7919500</v>
      </c>
      <c r="C33" s="97" t="s">
        <v>416</v>
      </c>
      <c r="D33" s="209">
        <v>0.28664547064857698</v>
      </c>
      <c r="E33" s="164">
        <f t="shared" si="4"/>
        <v>2270088.8048014054</v>
      </c>
      <c r="F33" s="150">
        <f t="shared" si="5"/>
        <v>2270088.8048014054</v>
      </c>
      <c r="G33" s="96"/>
      <c r="H33" s="103"/>
      <c r="I33" s="103"/>
      <c r="J33" s="103"/>
      <c r="K33" s="103"/>
      <c r="L33" s="103"/>
      <c r="M33" s="103"/>
      <c r="N33" s="103"/>
      <c r="O33" s="103"/>
      <c r="P33" s="103"/>
      <c r="Q33" s="103"/>
    </row>
    <row r="34" spans="1:17" x14ac:dyDescent="0.2">
      <c r="A34" s="96" t="s">
        <v>743</v>
      </c>
      <c r="B34" s="303">
        <v>70.930000000000007</v>
      </c>
      <c r="C34" s="97" t="s">
        <v>741</v>
      </c>
      <c r="D34" s="209">
        <v>24780.520179912</v>
      </c>
      <c r="E34" s="164">
        <f t="shared" si="4"/>
        <v>1757682.2963611584</v>
      </c>
      <c r="F34" s="150">
        <f t="shared" si="5"/>
        <v>1757682.2963611584</v>
      </c>
      <c r="G34" s="96"/>
      <c r="H34" s="103"/>
      <c r="I34" s="103"/>
      <c r="J34" s="103"/>
      <c r="K34" s="103"/>
      <c r="L34" s="103"/>
      <c r="M34" s="103"/>
      <c r="N34" s="103"/>
      <c r="O34" s="103"/>
      <c r="P34" s="103"/>
      <c r="Q34" s="103"/>
    </row>
    <row r="35" spans="1:17" x14ac:dyDescent="0.2">
      <c r="A35" s="96" t="s">
        <v>744</v>
      </c>
      <c r="B35" s="150">
        <v>4687679</v>
      </c>
      <c r="C35" s="97" t="s">
        <v>416</v>
      </c>
      <c r="D35" s="209">
        <v>0.32469400883070698</v>
      </c>
      <c r="E35" s="164">
        <f t="shared" si="4"/>
        <v>1522061.2866215196</v>
      </c>
      <c r="F35" s="150">
        <f t="shared" si="5"/>
        <v>1522061.2866215196</v>
      </c>
      <c r="G35" s="96"/>
      <c r="H35" s="103"/>
      <c r="I35" s="103"/>
      <c r="J35" s="103"/>
      <c r="K35" s="103"/>
      <c r="L35" s="103"/>
      <c r="M35" s="103"/>
      <c r="N35" s="103"/>
      <c r="O35" s="103"/>
      <c r="P35" s="103"/>
      <c r="Q35" s="103"/>
    </row>
    <row r="36" spans="1:17" x14ac:dyDescent="0.2">
      <c r="A36" s="96" t="s">
        <v>745</v>
      </c>
      <c r="B36" s="303">
        <v>67.64</v>
      </c>
      <c r="C36" s="97" t="s">
        <v>741</v>
      </c>
      <c r="D36" s="209">
        <v>16936.628070936</v>
      </c>
      <c r="E36" s="164">
        <f t="shared" si="4"/>
        <v>1145593.5227181111</v>
      </c>
      <c r="F36" s="150">
        <f t="shared" si="5"/>
        <v>1145593.5227181111</v>
      </c>
      <c r="G36" s="96"/>
      <c r="H36" s="103"/>
      <c r="I36" s="103"/>
      <c r="J36" s="103"/>
      <c r="K36" s="103"/>
      <c r="L36" s="103"/>
      <c r="M36" s="103"/>
      <c r="N36" s="103"/>
      <c r="O36" s="103"/>
      <c r="P36" s="103"/>
      <c r="Q36" s="103"/>
    </row>
    <row r="37" spans="1:17" x14ac:dyDescent="0.2">
      <c r="A37" s="96" t="s">
        <v>746</v>
      </c>
      <c r="B37" s="150">
        <v>295013</v>
      </c>
      <c r="C37" s="97" t="s">
        <v>416</v>
      </c>
      <c r="D37" s="209">
        <v>0.83492745127896095</v>
      </c>
      <c r="E37" s="164">
        <f t="shared" si="4"/>
        <v>246314.45218416009</v>
      </c>
      <c r="F37" s="150">
        <f t="shared" si="5"/>
        <v>246314.45218416009</v>
      </c>
      <c r="G37" s="96"/>
      <c r="H37" s="103"/>
      <c r="I37" s="103"/>
      <c r="J37" s="103"/>
      <c r="K37" s="103"/>
      <c r="L37" s="103"/>
      <c r="M37" s="103"/>
      <c r="N37" s="103"/>
      <c r="O37" s="103"/>
      <c r="P37" s="103"/>
      <c r="Q37" s="103"/>
    </row>
    <row r="38" spans="1:17" x14ac:dyDescent="0.2">
      <c r="A38" s="96" t="s">
        <v>747</v>
      </c>
      <c r="B38" s="303">
        <v>10.95</v>
      </c>
      <c r="C38" s="97" t="s">
        <v>741</v>
      </c>
      <c r="D38" s="209">
        <v>16936.628070936</v>
      </c>
      <c r="E38" s="164">
        <f t="shared" si="4"/>
        <v>185456.07737674919</v>
      </c>
      <c r="F38" s="150">
        <f t="shared" si="5"/>
        <v>185456.07737674919</v>
      </c>
      <c r="G38" s="96"/>
      <c r="H38" s="103"/>
      <c r="I38" s="103"/>
      <c r="J38" s="103"/>
      <c r="K38" s="103"/>
      <c r="L38" s="103"/>
      <c r="M38" s="103"/>
      <c r="N38" s="103"/>
      <c r="O38" s="103"/>
      <c r="P38" s="103"/>
      <c r="Q38" s="103"/>
    </row>
    <row r="39" spans="1:17" x14ac:dyDescent="0.2">
      <c r="A39" s="96" t="s">
        <v>748</v>
      </c>
      <c r="B39" s="150">
        <v>800000</v>
      </c>
      <c r="C39" s="97" t="s">
        <v>416</v>
      </c>
      <c r="D39" s="209">
        <v>0.28664547064857698</v>
      </c>
      <c r="E39" s="164">
        <f t="shared" si="4"/>
        <v>229316.37651886159</v>
      </c>
      <c r="F39" s="150">
        <f t="shared" ref="F39:F48" si="6">E39</f>
        <v>229316.37651886159</v>
      </c>
      <c r="G39" s="96"/>
      <c r="H39" s="103"/>
      <c r="I39" s="103"/>
      <c r="J39" s="103"/>
      <c r="K39" s="103"/>
      <c r="L39" s="103"/>
      <c r="M39" s="103"/>
      <c r="N39" s="103"/>
      <c r="O39" s="103"/>
      <c r="P39" s="103"/>
      <c r="Q39" s="103"/>
    </row>
    <row r="40" spans="1:17" x14ac:dyDescent="0.2">
      <c r="A40" s="96" t="s">
        <v>749</v>
      </c>
      <c r="B40" s="303">
        <v>7.17</v>
      </c>
      <c r="C40" s="97" t="s">
        <v>741</v>
      </c>
      <c r="D40" s="209">
        <v>24780.520179912</v>
      </c>
      <c r="E40" s="164">
        <f t="shared" si="4"/>
        <v>177676.32968996905</v>
      </c>
      <c r="F40" s="150">
        <f t="shared" si="6"/>
        <v>177676.32968996905</v>
      </c>
      <c r="G40" s="96"/>
      <c r="H40" s="103"/>
      <c r="I40" s="103"/>
      <c r="J40" s="103"/>
      <c r="K40" s="103"/>
      <c r="L40" s="103"/>
      <c r="M40" s="103"/>
      <c r="N40" s="103"/>
      <c r="O40" s="103"/>
      <c r="P40" s="103"/>
      <c r="Q40" s="103"/>
    </row>
    <row r="41" spans="1:17" x14ac:dyDescent="0.2">
      <c r="A41" s="96" t="s">
        <v>750</v>
      </c>
      <c r="B41" s="150">
        <v>300000</v>
      </c>
      <c r="C41" s="97" t="s">
        <v>416</v>
      </c>
      <c r="D41" s="209">
        <v>0.32469400883070698</v>
      </c>
      <c r="E41" s="164">
        <f t="shared" si="4"/>
        <v>97408.202649212093</v>
      </c>
      <c r="F41" s="150">
        <f t="shared" si="6"/>
        <v>97408.202649212093</v>
      </c>
      <c r="G41" s="96"/>
      <c r="H41" s="103"/>
      <c r="I41" s="103"/>
      <c r="J41" s="103"/>
      <c r="K41" s="103"/>
      <c r="L41" s="103"/>
      <c r="M41" s="103"/>
      <c r="N41" s="103"/>
      <c r="O41" s="103"/>
      <c r="P41" s="103"/>
      <c r="Q41" s="103"/>
    </row>
    <row r="42" spans="1:17" x14ac:dyDescent="0.2">
      <c r="A42" s="96" t="s">
        <v>751</v>
      </c>
      <c r="B42" s="303">
        <v>4.33</v>
      </c>
      <c r="C42" s="97" t="s">
        <v>741</v>
      </c>
      <c r="D42" s="209">
        <v>16936.628070936</v>
      </c>
      <c r="E42" s="164">
        <f t="shared" si="4"/>
        <v>73335.599547152888</v>
      </c>
      <c r="F42" s="150">
        <f t="shared" si="6"/>
        <v>73335.599547152888</v>
      </c>
      <c r="G42" s="96"/>
      <c r="H42" s="103"/>
      <c r="I42" s="103"/>
      <c r="J42" s="103"/>
      <c r="K42" s="103"/>
      <c r="L42" s="103"/>
      <c r="M42" s="103"/>
      <c r="N42" s="103"/>
      <c r="O42" s="103"/>
      <c r="P42" s="103"/>
      <c r="Q42" s="103"/>
    </row>
    <row r="43" spans="1:17" x14ac:dyDescent="0.2">
      <c r="A43" s="96" t="s">
        <v>750</v>
      </c>
      <c r="B43" s="150">
        <v>1450000</v>
      </c>
      <c r="C43" s="97" t="s">
        <v>416</v>
      </c>
      <c r="D43" s="209">
        <v>0.28664547064857698</v>
      </c>
      <c r="E43" s="164">
        <f t="shared" si="4"/>
        <v>415635.93244043662</v>
      </c>
      <c r="F43" s="150">
        <f t="shared" si="6"/>
        <v>415635.93244043662</v>
      </c>
      <c r="G43" s="96"/>
      <c r="H43" s="103"/>
      <c r="I43" s="103"/>
      <c r="J43" s="103"/>
      <c r="K43" s="103"/>
      <c r="L43" s="103"/>
      <c r="M43" s="103"/>
      <c r="N43" s="103"/>
      <c r="O43" s="103"/>
      <c r="P43" s="103"/>
      <c r="Q43" s="103"/>
    </row>
    <row r="44" spans="1:17" x14ac:dyDescent="0.2">
      <c r="A44" s="96" t="s">
        <v>751</v>
      </c>
      <c r="B44" s="303">
        <v>12.99</v>
      </c>
      <c r="C44" s="97" t="s">
        <v>741</v>
      </c>
      <c r="D44" s="209">
        <v>24780.520179912</v>
      </c>
      <c r="E44" s="164">
        <f t="shared" si="4"/>
        <v>321898.95713705692</v>
      </c>
      <c r="F44" s="150">
        <f t="shared" si="6"/>
        <v>321898.95713705692</v>
      </c>
      <c r="G44" s="96"/>
      <c r="H44" s="103"/>
      <c r="I44" s="103"/>
      <c r="J44" s="103"/>
      <c r="K44" s="103"/>
      <c r="L44" s="103"/>
      <c r="M44" s="103"/>
      <c r="N44" s="103"/>
      <c r="O44" s="103"/>
      <c r="P44" s="103"/>
      <c r="Q44" s="103"/>
    </row>
    <row r="45" spans="1:17" x14ac:dyDescent="0.2">
      <c r="A45" s="96" t="s">
        <v>752</v>
      </c>
      <c r="B45" s="150">
        <v>55669</v>
      </c>
      <c r="C45" s="97" t="s">
        <v>416</v>
      </c>
      <c r="D45" s="209">
        <v>0.85948414102245996</v>
      </c>
      <c r="E45" s="164">
        <f t="shared" si="4"/>
        <v>47846.622646579322</v>
      </c>
      <c r="F45" s="150">
        <f t="shared" si="6"/>
        <v>47846.622646579322</v>
      </c>
      <c r="G45" s="96"/>
      <c r="H45" s="103"/>
      <c r="I45" s="103"/>
      <c r="J45" s="103"/>
      <c r="K45" s="103"/>
      <c r="L45" s="103"/>
      <c r="M45" s="103"/>
      <c r="N45" s="103"/>
      <c r="O45" s="103"/>
      <c r="P45" s="103"/>
      <c r="Q45" s="103"/>
    </row>
    <row r="46" spans="1:17" x14ac:dyDescent="0.2">
      <c r="A46" s="96" t="s">
        <v>753</v>
      </c>
      <c r="B46" s="303">
        <v>2.13</v>
      </c>
      <c r="C46" s="97" t="s">
        <v>741</v>
      </c>
      <c r="D46" s="209">
        <v>7698.4673049709099</v>
      </c>
      <c r="E46" s="164">
        <f t="shared" si="4"/>
        <v>16397.735359588038</v>
      </c>
      <c r="F46" s="150">
        <f t="shared" si="6"/>
        <v>16397.735359588038</v>
      </c>
      <c r="G46" s="96"/>
      <c r="H46" s="103"/>
      <c r="I46" s="103"/>
      <c r="J46" s="103"/>
      <c r="K46" s="103"/>
      <c r="L46" s="103"/>
      <c r="M46" s="103"/>
      <c r="N46" s="103"/>
      <c r="O46" s="103"/>
      <c r="P46" s="103"/>
      <c r="Q46" s="103"/>
    </row>
    <row r="47" spans="1:17" x14ac:dyDescent="0.2">
      <c r="A47" s="96" t="s">
        <v>752</v>
      </c>
      <c r="B47" s="150">
        <v>57503</v>
      </c>
      <c r="C47" s="97" t="s">
        <v>416</v>
      </c>
      <c r="D47" s="209">
        <v>0.48704101324606103</v>
      </c>
      <c r="E47" s="164">
        <f t="shared" si="4"/>
        <v>28006.319384688246</v>
      </c>
      <c r="F47" s="150">
        <f t="shared" si="6"/>
        <v>28006.319384688246</v>
      </c>
      <c r="G47" s="96"/>
      <c r="H47" s="103"/>
      <c r="I47" s="103"/>
      <c r="J47" s="103"/>
      <c r="K47" s="103"/>
      <c r="L47" s="103"/>
      <c r="M47" s="103"/>
      <c r="N47" s="103"/>
      <c r="O47" s="103"/>
      <c r="P47" s="103"/>
      <c r="Q47" s="103"/>
    </row>
    <row r="48" spans="1:17" x14ac:dyDescent="0.2">
      <c r="A48" s="96" t="s">
        <v>753</v>
      </c>
      <c r="B48" s="303">
        <v>1.25</v>
      </c>
      <c r="C48" s="97" t="s">
        <v>741</v>
      </c>
      <c r="D48" s="209">
        <v>16936.628070936</v>
      </c>
      <c r="E48" s="164">
        <f t="shared" si="4"/>
        <v>21170.78508867</v>
      </c>
      <c r="F48" s="150">
        <f t="shared" si="6"/>
        <v>21170.78508867</v>
      </c>
      <c r="G48" s="96"/>
      <c r="H48" s="103"/>
      <c r="I48" s="103"/>
      <c r="J48" s="103"/>
      <c r="K48" s="103"/>
      <c r="L48" s="103"/>
      <c r="M48" s="103"/>
      <c r="N48" s="103"/>
      <c r="O48" s="103"/>
      <c r="P48" s="103"/>
      <c r="Q48" s="103"/>
    </row>
    <row r="49" spans="1:17" x14ac:dyDescent="0.2">
      <c r="A49" s="96" t="s">
        <v>754</v>
      </c>
      <c r="B49" s="150">
        <v>476351</v>
      </c>
      <c r="C49" s="97" t="s">
        <v>416</v>
      </c>
      <c r="D49" s="209">
        <v>0.32469400883070698</v>
      </c>
      <c r="E49" s="164">
        <f t="shared" ref="E49:E50" si="7">D49*B49</f>
        <v>154668.31580051611</v>
      </c>
      <c r="F49" s="150">
        <f t="shared" ref="F49:F70" si="8">E49</f>
        <v>154668.31580051611</v>
      </c>
      <c r="G49" s="96"/>
      <c r="H49" s="103"/>
      <c r="I49" s="103"/>
      <c r="J49" s="103"/>
      <c r="K49" s="103"/>
      <c r="L49" s="103"/>
      <c r="M49" s="103"/>
      <c r="N49" s="103"/>
      <c r="O49" s="103"/>
      <c r="P49" s="103"/>
      <c r="Q49" s="103"/>
    </row>
    <row r="50" spans="1:17" x14ac:dyDescent="0.2">
      <c r="A50" s="96" t="s">
        <v>755</v>
      </c>
      <c r="B50" s="303">
        <v>6.87</v>
      </c>
      <c r="C50" s="97" t="s">
        <v>741</v>
      </c>
      <c r="D50" s="209">
        <v>16936.628070936</v>
      </c>
      <c r="E50" s="164">
        <f t="shared" si="7"/>
        <v>116354.63484733032</v>
      </c>
      <c r="F50" s="150">
        <f t="shared" si="8"/>
        <v>116354.63484733032</v>
      </c>
      <c r="G50" s="96"/>
      <c r="H50" s="103"/>
      <c r="I50" s="103"/>
      <c r="J50" s="103"/>
      <c r="K50" s="103"/>
      <c r="L50" s="103"/>
      <c r="M50" s="103"/>
      <c r="N50" s="103"/>
      <c r="O50" s="103"/>
      <c r="P50" s="103"/>
      <c r="Q50" s="103"/>
    </row>
    <row r="51" spans="1:17" x14ac:dyDescent="0.2">
      <c r="A51" s="96" t="s">
        <v>756</v>
      </c>
      <c r="B51" s="150">
        <v>643986</v>
      </c>
      <c r="C51" s="97" t="s">
        <v>416</v>
      </c>
      <c r="D51" s="209">
        <v>0.28664547064857698</v>
      </c>
      <c r="E51" s="164">
        <f t="shared" ref="E51:E52" si="9">D51*B51</f>
        <v>184595.67006109448</v>
      </c>
      <c r="F51" s="150">
        <f t="shared" si="8"/>
        <v>184595.67006109448</v>
      </c>
      <c r="G51" s="96"/>
      <c r="H51" s="103"/>
      <c r="I51" s="103"/>
      <c r="J51" s="103"/>
      <c r="K51" s="103"/>
      <c r="L51" s="103"/>
      <c r="M51" s="103"/>
      <c r="N51" s="103"/>
      <c r="O51" s="103"/>
      <c r="P51" s="103"/>
      <c r="Q51" s="103"/>
    </row>
    <row r="52" spans="1:17" x14ac:dyDescent="0.2">
      <c r="A52" s="96" t="s">
        <v>757</v>
      </c>
      <c r="B52" s="303">
        <v>5.77</v>
      </c>
      <c r="C52" s="97" t="s">
        <v>741</v>
      </c>
      <c r="D52" s="209">
        <v>24780.520179912</v>
      </c>
      <c r="E52" s="164">
        <f t="shared" si="9"/>
        <v>142983.60143809224</v>
      </c>
      <c r="F52" s="150">
        <f t="shared" si="8"/>
        <v>142983.60143809224</v>
      </c>
      <c r="G52" s="96"/>
      <c r="H52" s="103"/>
      <c r="I52" s="103"/>
      <c r="J52" s="103"/>
      <c r="K52" s="103"/>
      <c r="L52" s="103"/>
      <c r="M52" s="103"/>
      <c r="N52" s="103"/>
      <c r="O52" s="103"/>
      <c r="P52" s="103"/>
      <c r="Q52" s="103"/>
    </row>
    <row r="53" spans="1:17" x14ac:dyDescent="0.2">
      <c r="A53" s="96" t="s">
        <v>758</v>
      </c>
      <c r="B53" s="150">
        <v>934047</v>
      </c>
      <c r="C53" s="97" t="s">
        <v>416</v>
      </c>
      <c r="D53" s="209">
        <v>0.28664547064857698</v>
      </c>
      <c r="E53" s="164">
        <f t="shared" ref="E53:E56" si="10">D53*B53</f>
        <v>267740.34192289138</v>
      </c>
      <c r="F53" s="150">
        <f t="shared" si="8"/>
        <v>267740.34192289138</v>
      </c>
      <c r="G53" s="96"/>
      <c r="H53" s="103"/>
      <c r="I53" s="103"/>
      <c r="J53" s="103"/>
      <c r="K53" s="103"/>
      <c r="L53" s="103"/>
      <c r="M53" s="103"/>
      <c r="N53" s="103"/>
      <c r="O53" s="103"/>
      <c r="P53" s="103"/>
      <c r="Q53" s="103"/>
    </row>
    <row r="54" spans="1:17" x14ac:dyDescent="0.2">
      <c r="A54" s="96" t="s">
        <v>759</v>
      </c>
      <c r="B54" s="303">
        <v>8.3699999999999992</v>
      </c>
      <c r="C54" s="97" t="s">
        <v>741</v>
      </c>
      <c r="D54" s="209">
        <v>24780.520179912</v>
      </c>
      <c r="E54" s="164">
        <f t="shared" si="10"/>
        <v>207412.95390586343</v>
      </c>
      <c r="F54" s="150">
        <f t="shared" si="8"/>
        <v>207412.95390586343</v>
      </c>
      <c r="G54" s="96"/>
      <c r="H54" s="103"/>
      <c r="I54" s="103"/>
      <c r="J54" s="103"/>
      <c r="K54" s="103"/>
      <c r="L54" s="103"/>
      <c r="M54" s="103"/>
      <c r="N54" s="103"/>
      <c r="O54" s="103"/>
      <c r="P54" s="103"/>
      <c r="Q54" s="103"/>
    </row>
    <row r="55" spans="1:17" x14ac:dyDescent="0.2">
      <c r="A55" s="96" t="s">
        <v>758</v>
      </c>
      <c r="B55" s="150">
        <v>279311</v>
      </c>
      <c r="C55" s="97" t="s">
        <v>416</v>
      </c>
      <c r="D55" s="209">
        <v>0.32469400883070698</v>
      </c>
      <c r="E55" s="164">
        <f t="shared" si="10"/>
        <v>90690.608300513602</v>
      </c>
      <c r="F55" s="150">
        <f t="shared" si="8"/>
        <v>90690.608300513602</v>
      </c>
      <c r="G55" s="96"/>
      <c r="H55" s="103"/>
      <c r="I55" s="103"/>
      <c r="J55" s="103"/>
      <c r="K55" s="103"/>
      <c r="L55" s="103"/>
      <c r="M55" s="103"/>
      <c r="N55" s="103"/>
      <c r="O55" s="103"/>
      <c r="P55" s="103"/>
      <c r="Q55" s="103"/>
    </row>
    <row r="56" spans="1:17" x14ac:dyDescent="0.2">
      <c r="A56" s="96" t="s">
        <v>759</v>
      </c>
      <c r="B56" s="303">
        <v>4.03</v>
      </c>
      <c r="C56" s="97" t="s">
        <v>741</v>
      </c>
      <c r="D56" s="209">
        <v>16936.628070936</v>
      </c>
      <c r="E56" s="164">
        <f t="shared" si="10"/>
        <v>68254.611125872078</v>
      </c>
      <c r="F56" s="150">
        <f t="shared" si="8"/>
        <v>68254.611125872078</v>
      </c>
      <c r="G56" s="96"/>
      <c r="H56" s="103"/>
      <c r="I56" s="103"/>
      <c r="J56" s="103"/>
      <c r="K56" s="103"/>
      <c r="L56" s="103"/>
      <c r="M56" s="103"/>
      <c r="N56" s="103"/>
      <c r="O56" s="103"/>
      <c r="P56" s="103"/>
      <c r="Q56" s="103"/>
    </row>
    <row r="57" spans="1:17" x14ac:dyDescent="0.2">
      <c r="A57" s="96" t="s">
        <v>760</v>
      </c>
      <c r="B57" s="150">
        <v>419503</v>
      </c>
      <c r="C57" s="97" t="s">
        <v>416</v>
      </c>
      <c r="D57" s="209">
        <v>0.35524438670122799</v>
      </c>
      <c r="E57" s="164">
        <f t="shared" ref="E57:E60" si="11">D57*B57</f>
        <v>149026.08595432524</v>
      </c>
      <c r="F57" s="150">
        <f t="shared" si="8"/>
        <v>149026.08595432524</v>
      </c>
      <c r="G57" s="96"/>
      <c r="H57" s="103"/>
      <c r="I57" s="103"/>
      <c r="J57" s="103"/>
      <c r="K57" s="103"/>
      <c r="L57" s="103"/>
      <c r="M57" s="103"/>
      <c r="N57" s="103"/>
      <c r="O57" s="103"/>
      <c r="P57" s="103"/>
      <c r="Q57" s="103"/>
    </row>
    <row r="58" spans="1:17" x14ac:dyDescent="0.2">
      <c r="A58" s="96" t="s">
        <v>761</v>
      </c>
      <c r="B58" s="303">
        <v>4.66</v>
      </c>
      <c r="C58" s="97" t="s">
        <v>741</v>
      </c>
      <c r="D58" s="209">
        <v>24780.520179912</v>
      </c>
      <c r="E58" s="164">
        <f t="shared" si="11"/>
        <v>115477.22403838992</v>
      </c>
      <c r="F58" s="150">
        <f t="shared" si="8"/>
        <v>115477.22403838992</v>
      </c>
      <c r="G58" s="96"/>
      <c r="H58" s="103"/>
      <c r="I58" s="103"/>
      <c r="J58" s="103"/>
      <c r="K58" s="103"/>
      <c r="L58" s="103"/>
      <c r="M58" s="103"/>
      <c r="N58" s="103"/>
      <c r="O58" s="103"/>
      <c r="P58" s="103"/>
      <c r="Q58" s="103"/>
    </row>
    <row r="59" spans="1:17" x14ac:dyDescent="0.2">
      <c r="A59" s="96" t="s">
        <v>760</v>
      </c>
      <c r="B59" s="150">
        <v>419503</v>
      </c>
      <c r="C59" s="97" t="s">
        <v>416</v>
      </c>
      <c r="D59" s="209">
        <v>0.32469400883070698</v>
      </c>
      <c r="E59" s="164">
        <f t="shared" si="11"/>
        <v>136210.11078650807</v>
      </c>
      <c r="F59" s="150">
        <f t="shared" si="8"/>
        <v>136210.11078650807</v>
      </c>
      <c r="G59" s="96"/>
      <c r="H59" s="103"/>
      <c r="I59" s="103"/>
      <c r="J59" s="103"/>
      <c r="K59" s="103"/>
      <c r="L59" s="103"/>
      <c r="M59" s="103"/>
      <c r="N59" s="103"/>
      <c r="O59" s="103"/>
      <c r="P59" s="103"/>
      <c r="Q59" s="103"/>
    </row>
    <row r="60" spans="1:17" x14ac:dyDescent="0.2">
      <c r="A60" s="96" t="s">
        <v>761</v>
      </c>
      <c r="B60" s="303">
        <v>6.05</v>
      </c>
      <c r="C60" s="97" t="s">
        <v>741</v>
      </c>
      <c r="D60" s="209">
        <v>16936.628070936</v>
      </c>
      <c r="E60" s="164">
        <f t="shared" si="11"/>
        <v>102466.59982916279</v>
      </c>
      <c r="F60" s="150">
        <f t="shared" si="8"/>
        <v>102466.59982916279</v>
      </c>
      <c r="G60" s="96"/>
      <c r="H60" s="103"/>
      <c r="I60" s="103"/>
      <c r="J60" s="103"/>
      <c r="K60" s="103"/>
      <c r="L60" s="103"/>
      <c r="M60" s="103"/>
      <c r="N60" s="103"/>
      <c r="O60" s="103"/>
      <c r="P60" s="103"/>
      <c r="Q60" s="103"/>
    </row>
    <row r="61" spans="1:17" x14ac:dyDescent="0.2">
      <c r="A61" s="96" t="s">
        <v>763</v>
      </c>
      <c r="B61" s="150">
        <v>13213</v>
      </c>
      <c r="C61" s="97" t="s">
        <v>416</v>
      </c>
      <c r="D61" s="209">
        <v>0.35524438670122799</v>
      </c>
      <c r="E61" s="164">
        <f t="shared" ref="E61:E64" si="12">D61*B61</f>
        <v>4693.8440814833257</v>
      </c>
      <c r="F61" s="150">
        <f t="shared" si="8"/>
        <v>4693.8440814833257</v>
      </c>
      <c r="G61" s="96"/>
      <c r="H61" s="103"/>
      <c r="I61" s="103"/>
      <c r="J61" s="103"/>
      <c r="K61" s="103"/>
      <c r="L61" s="103"/>
      <c r="M61" s="103"/>
      <c r="N61" s="103"/>
      <c r="O61" s="103"/>
      <c r="P61" s="103"/>
      <c r="Q61" s="103"/>
    </row>
    <row r="62" spans="1:17" x14ac:dyDescent="0.2">
      <c r="A62" s="96" t="s">
        <v>762</v>
      </c>
      <c r="B62" s="303">
        <v>0.15</v>
      </c>
      <c r="C62" s="97" t="s">
        <v>741</v>
      </c>
      <c r="D62" s="209">
        <v>24780.520179912</v>
      </c>
      <c r="E62" s="164">
        <f t="shared" si="12"/>
        <v>3717.0780269868001</v>
      </c>
      <c r="F62" s="150">
        <f t="shared" si="8"/>
        <v>3717.0780269868001</v>
      </c>
      <c r="G62" s="96"/>
      <c r="H62" s="103"/>
      <c r="I62" s="103"/>
      <c r="J62" s="103"/>
      <c r="K62" s="103"/>
      <c r="L62" s="103"/>
      <c r="M62" s="103"/>
      <c r="N62" s="103"/>
      <c r="O62" s="103"/>
      <c r="P62" s="103"/>
      <c r="Q62" s="103"/>
    </row>
    <row r="63" spans="1:17" x14ac:dyDescent="0.2">
      <c r="A63" s="96" t="s">
        <v>763</v>
      </c>
      <c r="B63" s="150">
        <v>13213</v>
      </c>
      <c r="C63" s="97" t="s">
        <v>416</v>
      </c>
      <c r="D63" s="209">
        <v>0.32469400883070698</v>
      </c>
      <c r="E63" s="164">
        <f t="shared" si="12"/>
        <v>4290.1819386801317</v>
      </c>
      <c r="F63" s="150">
        <f t="shared" si="8"/>
        <v>4290.1819386801317</v>
      </c>
      <c r="G63" s="96"/>
      <c r="H63" s="103"/>
      <c r="I63" s="103"/>
      <c r="J63" s="103"/>
      <c r="K63" s="103"/>
      <c r="L63" s="103"/>
      <c r="M63" s="103"/>
      <c r="N63" s="103"/>
      <c r="O63" s="103"/>
      <c r="P63" s="103"/>
      <c r="Q63" s="103"/>
    </row>
    <row r="64" spans="1:17" x14ac:dyDescent="0.2">
      <c r="A64" s="96" t="s">
        <v>762</v>
      </c>
      <c r="B64" s="303">
        <v>0.19</v>
      </c>
      <c r="C64" s="97" t="s">
        <v>741</v>
      </c>
      <c r="D64" s="209">
        <v>16936.628070936</v>
      </c>
      <c r="E64" s="164">
        <f t="shared" si="12"/>
        <v>3217.9593334778401</v>
      </c>
      <c r="F64" s="150">
        <f t="shared" si="8"/>
        <v>3217.9593334778401</v>
      </c>
      <c r="G64" s="96"/>
      <c r="H64" s="103"/>
      <c r="I64" s="103"/>
      <c r="J64" s="103"/>
      <c r="K64" s="103"/>
      <c r="L64" s="103"/>
      <c r="M64" s="103"/>
      <c r="N64" s="103"/>
      <c r="O64" s="103"/>
      <c r="P64" s="103"/>
      <c r="Q64" s="103"/>
    </row>
    <row r="65" spans="1:17" x14ac:dyDescent="0.2">
      <c r="A65" s="96" t="s">
        <v>764</v>
      </c>
      <c r="B65" s="150">
        <v>2173950</v>
      </c>
      <c r="C65" s="97" t="s">
        <v>416</v>
      </c>
      <c r="D65" s="209">
        <v>0.28664547064857698</v>
      </c>
      <c r="E65" s="164">
        <f t="shared" ref="E65:E68" si="13">D65*B65</f>
        <v>623152.92091647396</v>
      </c>
      <c r="F65" s="150">
        <f t="shared" si="8"/>
        <v>623152.92091647396</v>
      </c>
      <c r="G65" s="96"/>
      <c r="H65" s="103"/>
      <c r="I65" s="103"/>
      <c r="J65" s="103"/>
      <c r="K65" s="103"/>
      <c r="L65" s="103"/>
      <c r="M65" s="103"/>
      <c r="N65" s="103"/>
      <c r="O65" s="103"/>
      <c r="P65" s="103"/>
      <c r="Q65" s="103"/>
    </row>
    <row r="66" spans="1:17" x14ac:dyDescent="0.2">
      <c r="A66" s="96" t="s">
        <v>765</v>
      </c>
      <c r="B66" s="303">
        <v>19.47</v>
      </c>
      <c r="C66" s="97" t="s">
        <v>741</v>
      </c>
      <c r="D66" s="209">
        <v>24780.520179912</v>
      </c>
      <c r="E66" s="164">
        <f t="shared" si="13"/>
        <v>482476.72790288663</v>
      </c>
      <c r="F66" s="150">
        <f t="shared" si="8"/>
        <v>482476.72790288663</v>
      </c>
      <c r="G66" s="96"/>
      <c r="H66" s="103"/>
      <c r="I66" s="103"/>
      <c r="J66" s="103"/>
      <c r="K66" s="103"/>
      <c r="L66" s="103"/>
      <c r="M66" s="103"/>
      <c r="N66" s="103"/>
      <c r="O66" s="103"/>
      <c r="P66" s="103"/>
      <c r="Q66" s="103"/>
    </row>
    <row r="67" spans="1:17" x14ac:dyDescent="0.2">
      <c r="A67" s="96" t="s">
        <v>764</v>
      </c>
      <c r="B67" s="150">
        <v>769433</v>
      </c>
      <c r="C67" s="97" t="s">
        <v>416</v>
      </c>
      <c r="D67" s="209">
        <v>0.32469400883070698</v>
      </c>
      <c r="E67" s="164">
        <f t="shared" si="13"/>
        <v>249830.28529663736</v>
      </c>
      <c r="F67" s="150">
        <f t="shared" si="8"/>
        <v>249830.28529663736</v>
      </c>
      <c r="G67" s="96"/>
      <c r="H67" s="103"/>
      <c r="I67" s="103"/>
      <c r="J67" s="103"/>
      <c r="K67" s="103"/>
      <c r="L67" s="103"/>
      <c r="M67" s="103"/>
      <c r="N67" s="103"/>
      <c r="O67" s="103"/>
      <c r="P67" s="103"/>
      <c r="Q67" s="103"/>
    </row>
    <row r="68" spans="1:17" x14ac:dyDescent="0.2">
      <c r="A68" s="96" t="s">
        <v>765</v>
      </c>
      <c r="B68" s="303">
        <v>11.1</v>
      </c>
      <c r="C68" s="97" t="s">
        <v>741</v>
      </c>
      <c r="D68" s="209">
        <v>16936.628070936</v>
      </c>
      <c r="E68" s="164">
        <f t="shared" si="13"/>
        <v>187996.5715873896</v>
      </c>
      <c r="F68" s="150">
        <f t="shared" si="8"/>
        <v>187996.5715873896</v>
      </c>
      <c r="G68" s="96"/>
      <c r="H68" s="103"/>
      <c r="I68" s="103"/>
      <c r="J68" s="103"/>
      <c r="K68" s="103"/>
      <c r="L68" s="103"/>
      <c r="M68" s="103"/>
      <c r="N68" s="103"/>
      <c r="O68" s="103"/>
      <c r="P68" s="103"/>
      <c r="Q68" s="103"/>
    </row>
    <row r="69" spans="1:17" x14ac:dyDescent="0.2">
      <c r="A69" s="96" t="s">
        <v>766</v>
      </c>
      <c r="B69" s="150">
        <v>299499</v>
      </c>
      <c r="C69" s="97" t="s">
        <v>416</v>
      </c>
      <c r="D69" s="209">
        <v>0.32469400883070698</v>
      </c>
      <c r="E69" s="164">
        <f t="shared" ref="E69:E70" si="14">D69*B69</f>
        <v>97245.530950787914</v>
      </c>
      <c r="F69" s="150">
        <f t="shared" si="8"/>
        <v>97245.530950787914</v>
      </c>
      <c r="G69" s="96"/>
      <c r="H69" s="103"/>
      <c r="I69" s="103"/>
      <c r="J69" s="103"/>
      <c r="K69" s="103"/>
      <c r="L69" s="103"/>
      <c r="M69" s="103"/>
      <c r="N69" s="103"/>
      <c r="O69" s="103"/>
      <c r="P69" s="103"/>
      <c r="Q69" s="103"/>
    </row>
    <row r="70" spans="1:17" x14ac:dyDescent="0.2">
      <c r="A70" s="96" t="s">
        <v>767</v>
      </c>
      <c r="B70" s="303">
        <v>4.32</v>
      </c>
      <c r="C70" s="97" t="s">
        <v>741</v>
      </c>
      <c r="D70" s="209">
        <v>16936.628070936</v>
      </c>
      <c r="E70" s="164">
        <f t="shared" si="14"/>
        <v>73166.233266443523</v>
      </c>
      <c r="F70" s="150">
        <f t="shared" si="8"/>
        <v>73166.233266443523</v>
      </c>
      <c r="G70" s="96"/>
      <c r="H70" s="103"/>
      <c r="I70" s="103"/>
      <c r="J70" s="103"/>
      <c r="K70" s="103"/>
      <c r="L70" s="103"/>
      <c r="M70" s="103"/>
      <c r="N70" s="103"/>
      <c r="O70" s="103"/>
      <c r="P70" s="103"/>
      <c r="Q70" s="103"/>
    </row>
    <row r="71" spans="1:17" ht="15.75" x14ac:dyDescent="0.25">
      <c r="A71" s="96"/>
      <c r="B71" s="303"/>
      <c r="C71" s="97"/>
      <c r="D71" s="209"/>
      <c r="E71" s="42" t="s">
        <v>725</v>
      </c>
      <c r="F71" s="43">
        <f>SUM(F31:F70)</f>
        <v>19478028.563037127</v>
      </c>
      <c r="G71" s="96"/>
      <c r="H71" s="103"/>
      <c r="I71" s="103"/>
      <c r="J71" s="103"/>
      <c r="K71" s="103"/>
      <c r="L71" s="103"/>
      <c r="M71" s="103"/>
      <c r="N71" s="103"/>
      <c r="O71" s="103"/>
      <c r="P71" s="103"/>
      <c r="Q71" s="103"/>
    </row>
    <row r="72" spans="1:17" x14ac:dyDescent="0.2">
      <c r="A72" s="96"/>
      <c r="B72" s="303"/>
      <c r="C72" s="97"/>
      <c r="D72" s="153"/>
      <c r="E72" s="386" t="s">
        <v>260</v>
      </c>
      <c r="F72" s="334">
        <f>F71*'21...Inflation Rate'!$G$56</f>
        <v>458977.00802440551</v>
      </c>
      <c r="G72" s="96"/>
      <c r="H72" s="103"/>
      <c r="I72" s="103"/>
      <c r="J72" s="103"/>
      <c r="K72" s="103"/>
      <c r="L72" s="103"/>
      <c r="M72" s="103"/>
      <c r="N72" s="103"/>
      <c r="O72" s="103"/>
      <c r="P72" s="103"/>
      <c r="Q72" s="103"/>
    </row>
    <row r="73" spans="1:17" ht="15.75" x14ac:dyDescent="0.25">
      <c r="A73" s="96"/>
      <c r="B73" s="303"/>
      <c r="C73" s="97"/>
      <c r="D73" s="153"/>
      <c r="E73" s="42" t="s">
        <v>780</v>
      </c>
      <c r="F73" s="387">
        <f>F71+F72</f>
        <v>19937005.571061533</v>
      </c>
      <c r="G73" s="96"/>
      <c r="H73" s="103"/>
      <c r="I73" s="103"/>
      <c r="J73" s="103"/>
      <c r="K73" s="103"/>
      <c r="L73" s="103"/>
      <c r="M73" s="103"/>
      <c r="N73" s="103"/>
      <c r="O73" s="103"/>
      <c r="P73" s="103"/>
      <c r="Q73" s="103"/>
    </row>
    <row r="74" spans="1:17" ht="15.75" x14ac:dyDescent="0.25">
      <c r="A74" s="96"/>
      <c r="B74" s="303"/>
      <c r="C74" s="97"/>
      <c r="D74" s="209"/>
      <c r="E74" s="42"/>
      <c r="F74" s="43"/>
      <c r="G74" s="96"/>
      <c r="H74" s="103"/>
      <c r="I74" s="103"/>
      <c r="J74" s="103"/>
      <c r="K74" s="103"/>
      <c r="L74" s="103"/>
      <c r="M74" s="103"/>
      <c r="N74" s="103"/>
      <c r="O74" s="103"/>
      <c r="P74" s="103"/>
      <c r="Q74" s="103"/>
    </row>
    <row r="75" spans="1:17" ht="15.75" x14ac:dyDescent="0.25">
      <c r="A75" s="385" t="s">
        <v>768</v>
      </c>
      <c r="B75" s="303"/>
      <c r="C75" s="97"/>
      <c r="D75" s="209"/>
      <c r="E75" s="42"/>
      <c r="F75" s="43"/>
      <c r="G75" s="96"/>
      <c r="H75" s="103"/>
      <c r="I75" s="103"/>
      <c r="J75" s="103"/>
      <c r="K75" s="103"/>
      <c r="L75" s="103"/>
      <c r="M75" s="103"/>
      <c r="N75" s="103"/>
      <c r="O75" s="103"/>
      <c r="P75" s="103"/>
      <c r="Q75" s="103"/>
    </row>
    <row r="76" spans="1:17" x14ac:dyDescent="0.2">
      <c r="A76" s="96" t="s">
        <v>769</v>
      </c>
      <c r="B76" s="303">
        <v>4000</v>
      </c>
      <c r="C76" s="97" t="s">
        <v>771</v>
      </c>
      <c r="D76" s="209">
        <v>50</v>
      </c>
      <c r="E76" s="164">
        <f t="shared" ref="E76:E77" si="15">D76*B76</f>
        <v>200000</v>
      </c>
      <c r="F76" s="150">
        <f t="shared" ref="F76:F77" si="16">E76</f>
        <v>200000</v>
      </c>
      <c r="G76" s="96"/>
      <c r="H76" s="103"/>
      <c r="I76" s="103"/>
      <c r="J76" s="103"/>
      <c r="K76" s="103"/>
      <c r="L76" s="103"/>
      <c r="M76" s="103"/>
      <c r="N76" s="103"/>
      <c r="O76" s="103"/>
      <c r="P76" s="103"/>
      <c r="Q76" s="103"/>
    </row>
    <row r="77" spans="1:17" x14ac:dyDescent="0.2">
      <c r="A77" s="96" t="s">
        <v>770</v>
      </c>
      <c r="B77" s="303">
        <v>4000</v>
      </c>
      <c r="C77" s="97" t="s">
        <v>771</v>
      </c>
      <c r="D77" s="209">
        <v>25</v>
      </c>
      <c r="E77" s="164">
        <f t="shared" si="15"/>
        <v>100000</v>
      </c>
      <c r="F77" s="150">
        <f t="shared" si="16"/>
        <v>100000</v>
      </c>
      <c r="G77" s="96"/>
      <c r="H77" s="103"/>
      <c r="I77" s="103"/>
      <c r="J77" s="103"/>
      <c r="K77" s="103"/>
      <c r="L77" s="103"/>
      <c r="M77" s="103"/>
      <c r="N77" s="103"/>
      <c r="O77" s="103"/>
      <c r="P77" s="103"/>
      <c r="Q77" s="103"/>
    </row>
    <row r="78" spans="1:17" ht="15.75" x14ac:dyDescent="0.25">
      <c r="A78" s="96"/>
      <c r="B78" s="303"/>
      <c r="C78" s="97"/>
      <c r="D78" s="209"/>
      <c r="E78" s="42" t="s">
        <v>725</v>
      </c>
      <c r="F78" s="43">
        <f>SUM(F76:F77)</f>
        <v>300000</v>
      </c>
      <c r="G78" s="96"/>
      <c r="H78" s="103"/>
      <c r="I78" s="103"/>
      <c r="J78" s="103"/>
      <c r="K78" s="103"/>
      <c r="L78" s="103"/>
      <c r="M78" s="103"/>
      <c r="N78" s="103"/>
      <c r="O78" s="103"/>
      <c r="P78" s="103"/>
      <c r="Q78" s="103"/>
    </row>
    <row r="79" spans="1:17" x14ac:dyDescent="0.2">
      <c r="A79" s="96"/>
      <c r="B79" s="303"/>
      <c r="C79" s="97"/>
      <c r="D79" s="153"/>
      <c r="E79" s="386" t="s">
        <v>260</v>
      </c>
      <c r="F79" s="334">
        <f>F78*'21...Inflation Rate'!$G$56</f>
        <v>7069.1498352465578</v>
      </c>
      <c r="G79" s="96"/>
      <c r="H79" s="103"/>
      <c r="I79" s="103"/>
      <c r="J79" s="103"/>
      <c r="K79" s="103"/>
      <c r="L79" s="103"/>
      <c r="M79" s="103"/>
      <c r="N79" s="103"/>
      <c r="O79" s="103"/>
      <c r="P79" s="103"/>
      <c r="Q79" s="103"/>
    </row>
    <row r="80" spans="1:17" ht="15.75" x14ac:dyDescent="0.25">
      <c r="A80" s="96"/>
      <c r="B80" s="303"/>
      <c r="C80" s="97"/>
      <c r="D80" s="153"/>
      <c r="E80" s="42" t="s">
        <v>780</v>
      </c>
      <c r="F80" s="387">
        <f>F78+F79</f>
        <v>307069.14983524656</v>
      </c>
      <c r="G80" s="96"/>
      <c r="H80" s="103"/>
      <c r="I80" s="103"/>
      <c r="J80" s="103"/>
      <c r="K80" s="103"/>
      <c r="L80" s="103"/>
      <c r="M80" s="103"/>
      <c r="N80" s="103"/>
      <c r="O80" s="103"/>
      <c r="P80" s="103"/>
      <c r="Q80" s="103"/>
    </row>
    <row r="81" spans="1:19" x14ac:dyDescent="0.2">
      <c r="A81" s="96"/>
      <c r="B81" s="150"/>
      <c r="C81" s="97"/>
      <c r="D81" s="209"/>
      <c r="E81" s="164"/>
      <c r="F81" s="150"/>
      <c r="G81" s="96"/>
      <c r="H81" s="103"/>
      <c r="I81" s="103"/>
      <c r="J81" s="103"/>
      <c r="K81" s="103"/>
      <c r="L81" s="103"/>
      <c r="M81" s="103"/>
      <c r="N81" s="103"/>
      <c r="O81" s="103"/>
      <c r="P81" s="103"/>
      <c r="Q81" s="103"/>
    </row>
    <row r="82" spans="1:19" ht="15.75" x14ac:dyDescent="0.25">
      <c r="A82" s="62" t="s">
        <v>453</v>
      </c>
      <c r="B82" s="150"/>
      <c r="C82" s="96"/>
      <c r="D82" s="209"/>
      <c r="E82" s="164"/>
      <c r="F82" s="150"/>
      <c r="G82" s="96"/>
      <c r="H82" s="103"/>
      <c r="I82" s="103"/>
      <c r="J82" s="103"/>
      <c r="K82" s="103"/>
      <c r="L82" s="103"/>
      <c r="M82" s="103"/>
      <c r="N82" s="103"/>
      <c r="O82" s="103"/>
      <c r="P82" s="103"/>
      <c r="Q82" s="103"/>
    </row>
    <row r="83" spans="1:19" x14ac:dyDescent="0.2">
      <c r="A83" s="96" t="s">
        <v>454</v>
      </c>
      <c r="B83" s="150">
        <v>1</v>
      </c>
      <c r="C83" s="96" t="s">
        <v>455</v>
      </c>
      <c r="D83" s="210" t="s">
        <v>456</v>
      </c>
      <c r="E83" s="130">
        <v>100000</v>
      </c>
      <c r="F83" s="130">
        <f>E83</f>
        <v>100000</v>
      </c>
      <c r="G83" s="96"/>
      <c r="H83" s="103"/>
      <c r="I83" s="103"/>
      <c r="J83" s="103"/>
      <c r="K83" s="103"/>
      <c r="L83" s="103"/>
      <c r="M83" s="103"/>
      <c r="N83" s="103"/>
      <c r="O83" s="103"/>
      <c r="P83" s="103"/>
      <c r="Q83" s="103"/>
    </row>
    <row r="84" spans="1:19" x14ac:dyDescent="0.2">
      <c r="A84" s="96"/>
      <c r="B84" s="150"/>
      <c r="C84" s="96"/>
      <c r="D84" s="210"/>
      <c r="E84" s="130"/>
      <c r="F84" s="130"/>
      <c r="G84" s="99"/>
      <c r="J84" s="103"/>
      <c r="K84" s="103"/>
      <c r="L84" s="103"/>
      <c r="M84" s="103"/>
      <c r="N84" s="103"/>
      <c r="O84" s="103"/>
      <c r="P84" s="103"/>
      <c r="Q84" s="103"/>
    </row>
    <row r="85" spans="1:19" ht="15.75" x14ac:dyDescent="0.25">
      <c r="A85" s="62" t="s">
        <v>457</v>
      </c>
      <c r="B85" s="150"/>
      <c r="C85" s="96"/>
      <c r="D85" s="210"/>
      <c r="E85" s="130"/>
      <c r="F85" s="130"/>
      <c r="G85" s="99"/>
      <c r="J85" s="103"/>
      <c r="K85" s="103"/>
      <c r="L85" s="103"/>
      <c r="M85" s="103"/>
      <c r="N85" s="103"/>
      <c r="O85" s="103"/>
      <c r="P85" s="103"/>
      <c r="Q85" s="103"/>
    </row>
    <row r="86" spans="1:19" x14ac:dyDescent="0.2">
      <c r="A86" s="96" t="s">
        <v>460</v>
      </c>
      <c r="B86" s="150">
        <v>2000</v>
      </c>
      <c r="C86" s="96" t="s">
        <v>265</v>
      </c>
      <c r="D86" s="209">
        <v>13.55</v>
      </c>
      <c r="E86" s="164">
        <f t="shared" ref="E86:E95" si="17">B86*D86</f>
        <v>27100</v>
      </c>
      <c r="F86" s="150">
        <f>E86*$C$145</f>
        <v>24091.9</v>
      </c>
      <c r="G86" s="96" t="s">
        <v>243</v>
      </c>
      <c r="H86" s="103" t="s">
        <v>458</v>
      </c>
      <c r="I86" s="103" t="s">
        <v>459</v>
      </c>
      <c r="J86" s="103"/>
      <c r="K86" s="103"/>
      <c r="L86" s="103"/>
      <c r="M86" s="103"/>
      <c r="N86" s="103"/>
      <c r="O86" s="103"/>
      <c r="P86" s="103"/>
      <c r="Q86" s="103"/>
      <c r="S86" s="211"/>
    </row>
    <row r="87" spans="1:19" x14ac:dyDescent="0.2">
      <c r="A87" s="96" t="s">
        <v>461</v>
      </c>
      <c r="B87" s="150">
        <v>3000</v>
      </c>
      <c r="C87" s="96" t="s">
        <v>265</v>
      </c>
      <c r="D87" s="209">
        <v>13.55</v>
      </c>
      <c r="E87" s="164">
        <f t="shared" si="17"/>
        <v>40650</v>
      </c>
      <c r="F87" s="150">
        <f t="shared" ref="F87:F95" si="18">E87*$C$145</f>
        <v>36137.85</v>
      </c>
      <c r="G87" s="96" t="s">
        <v>243</v>
      </c>
      <c r="H87" s="103" t="s">
        <v>458</v>
      </c>
      <c r="I87" s="103" t="s">
        <v>459</v>
      </c>
      <c r="J87" s="103"/>
      <c r="K87" s="103"/>
      <c r="L87" s="103"/>
      <c r="M87" s="103"/>
      <c r="N87" s="103"/>
      <c r="O87" s="103"/>
      <c r="P87" s="103"/>
      <c r="Q87" s="103"/>
      <c r="S87" s="211"/>
    </row>
    <row r="88" spans="1:19" x14ac:dyDescent="0.2">
      <c r="A88" s="96" t="s">
        <v>462</v>
      </c>
      <c r="B88" s="150">
        <f>(9600-9000)/50*1200</f>
        <v>14400</v>
      </c>
      <c r="C88" s="96" t="s">
        <v>265</v>
      </c>
      <c r="D88" s="209">
        <v>13.55</v>
      </c>
      <c r="E88" s="164">
        <f t="shared" si="17"/>
        <v>195120</v>
      </c>
      <c r="F88" s="150">
        <f t="shared" si="18"/>
        <v>173461.68</v>
      </c>
      <c r="G88" s="96" t="s">
        <v>243</v>
      </c>
      <c r="H88" s="103" t="s">
        <v>458</v>
      </c>
      <c r="I88" s="103" t="s">
        <v>459</v>
      </c>
      <c r="J88" s="103"/>
      <c r="K88" s="103"/>
      <c r="L88" s="103"/>
      <c r="M88" s="103"/>
      <c r="N88" s="103"/>
      <c r="O88" s="103"/>
      <c r="P88" s="103"/>
      <c r="Q88" s="103"/>
      <c r="S88" s="211"/>
    </row>
    <row r="89" spans="1:19" x14ac:dyDescent="0.2">
      <c r="A89" s="96" t="s">
        <v>463</v>
      </c>
      <c r="B89" s="150">
        <v>6300</v>
      </c>
      <c r="C89" s="96" t="s">
        <v>265</v>
      </c>
      <c r="D89" s="209">
        <v>13.55</v>
      </c>
      <c r="E89" s="164">
        <f t="shared" si="17"/>
        <v>85365</v>
      </c>
      <c r="F89" s="150">
        <f t="shared" si="18"/>
        <v>75889.485000000001</v>
      </c>
      <c r="G89" s="96" t="s">
        <v>243</v>
      </c>
      <c r="H89" s="103" t="s">
        <v>458</v>
      </c>
      <c r="I89" s="103" t="s">
        <v>459</v>
      </c>
      <c r="J89" s="103"/>
      <c r="K89" s="103"/>
      <c r="L89" s="103"/>
      <c r="M89" s="103"/>
      <c r="N89" s="103"/>
      <c r="O89" s="103"/>
      <c r="P89" s="103"/>
      <c r="Q89" s="103"/>
      <c r="S89" s="211"/>
    </row>
    <row r="90" spans="1:19" x14ac:dyDescent="0.2">
      <c r="A90" s="96" t="s">
        <v>464</v>
      </c>
      <c r="B90" s="150">
        <f>(9500-8650)/50*1350</f>
        <v>22950</v>
      </c>
      <c r="C90" s="96" t="s">
        <v>265</v>
      </c>
      <c r="D90" s="209">
        <v>13.55</v>
      </c>
      <c r="E90" s="164">
        <f t="shared" si="17"/>
        <v>310972.5</v>
      </c>
      <c r="F90" s="150">
        <f t="shared" si="18"/>
        <v>276454.55249999999</v>
      </c>
      <c r="G90" s="96" t="s">
        <v>243</v>
      </c>
      <c r="H90" s="103" t="s">
        <v>458</v>
      </c>
      <c r="I90" s="103" t="s">
        <v>459</v>
      </c>
      <c r="J90" s="103"/>
      <c r="K90" s="103"/>
      <c r="L90" s="103"/>
      <c r="M90" s="103"/>
      <c r="N90" s="103"/>
      <c r="O90" s="103"/>
      <c r="P90" s="103"/>
      <c r="Q90" s="103"/>
      <c r="S90" s="211"/>
    </row>
    <row r="91" spans="1:19" x14ac:dyDescent="0.2">
      <c r="A91" s="96" t="s">
        <v>465</v>
      </c>
      <c r="B91" s="150">
        <v>5000</v>
      </c>
      <c r="C91" s="96" t="s">
        <v>265</v>
      </c>
      <c r="D91" s="209">
        <v>13.55</v>
      </c>
      <c r="E91" s="164">
        <f t="shared" si="17"/>
        <v>67750</v>
      </c>
      <c r="F91" s="150">
        <f t="shared" si="18"/>
        <v>60229.75</v>
      </c>
      <c r="G91" s="96" t="s">
        <v>243</v>
      </c>
      <c r="H91" s="103" t="s">
        <v>458</v>
      </c>
      <c r="I91" s="103" t="s">
        <v>459</v>
      </c>
      <c r="J91" s="103"/>
      <c r="K91" s="103"/>
      <c r="L91" s="103"/>
      <c r="M91" s="103"/>
      <c r="N91" s="103"/>
      <c r="O91" s="103"/>
      <c r="P91" s="103"/>
      <c r="Q91" s="103"/>
      <c r="S91" s="211"/>
    </row>
    <row r="92" spans="1:19" x14ac:dyDescent="0.2">
      <c r="A92" s="96" t="s">
        <v>466</v>
      </c>
      <c r="B92" s="150">
        <v>34700</v>
      </c>
      <c r="C92" s="96" t="s">
        <v>265</v>
      </c>
      <c r="D92" s="209">
        <v>13.55</v>
      </c>
      <c r="E92" s="164">
        <f t="shared" si="17"/>
        <v>470185</v>
      </c>
      <c r="F92" s="150">
        <f t="shared" si="18"/>
        <v>417994.46500000003</v>
      </c>
      <c r="G92" s="96" t="s">
        <v>243</v>
      </c>
      <c r="H92" s="103" t="s">
        <v>458</v>
      </c>
      <c r="I92" s="103" t="s">
        <v>459</v>
      </c>
      <c r="J92" s="103"/>
      <c r="K92" s="103"/>
      <c r="L92" s="103"/>
      <c r="M92" s="103"/>
      <c r="N92" s="103"/>
      <c r="O92" s="103"/>
      <c r="P92" s="103"/>
      <c r="Q92" s="103"/>
      <c r="S92" s="211"/>
    </row>
    <row r="93" spans="1:19" x14ac:dyDescent="0.2">
      <c r="A93" s="96" t="s">
        <v>467</v>
      </c>
      <c r="B93" s="150">
        <v>16000</v>
      </c>
      <c r="C93" s="96" t="s">
        <v>265</v>
      </c>
      <c r="D93" s="209">
        <v>13.55</v>
      </c>
      <c r="E93" s="164">
        <f t="shared" si="17"/>
        <v>216800</v>
      </c>
      <c r="F93" s="150">
        <f t="shared" si="18"/>
        <v>192735.2</v>
      </c>
      <c r="G93" s="96" t="s">
        <v>243</v>
      </c>
      <c r="H93" s="103" t="s">
        <v>458</v>
      </c>
      <c r="I93" s="103" t="s">
        <v>459</v>
      </c>
      <c r="J93" s="103"/>
      <c r="K93" s="103"/>
      <c r="L93" s="103"/>
      <c r="M93" s="103"/>
      <c r="N93" s="103"/>
      <c r="O93" s="103"/>
      <c r="P93" s="103"/>
      <c r="Q93" s="103"/>
    </row>
    <row r="94" spans="1:19" x14ac:dyDescent="0.2">
      <c r="A94" s="96" t="s">
        <v>468</v>
      </c>
      <c r="B94" s="150">
        <v>18000</v>
      </c>
      <c r="C94" s="96" t="s">
        <v>265</v>
      </c>
      <c r="D94" s="209">
        <v>13.55</v>
      </c>
      <c r="E94" s="164">
        <f t="shared" si="17"/>
        <v>243900</v>
      </c>
      <c r="F94" s="150">
        <f t="shared" si="18"/>
        <v>216827.1</v>
      </c>
      <c r="G94" s="96" t="s">
        <v>243</v>
      </c>
      <c r="H94" s="103" t="s">
        <v>458</v>
      </c>
      <c r="I94" s="103" t="s">
        <v>459</v>
      </c>
      <c r="J94" s="103"/>
      <c r="K94" s="103"/>
      <c r="L94" s="103"/>
      <c r="M94" s="103"/>
      <c r="N94" s="103"/>
      <c r="O94" s="103"/>
      <c r="P94" s="103"/>
      <c r="Q94" s="103"/>
      <c r="S94" s="211"/>
    </row>
    <row r="95" spans="1:19" x14ac:dyDescent="0.2">
      <c r="A95" s="96" t="s">
        <v>469</v>
      </c>
      <c r="B95" s="150">
        <v>6000</v>
      </c>
      <c r="C95" s="96" t="s">
        <v>265</v>
      </c>
      <c r="D95" s="209">
        <v>13.55</v>
      </c>
      <c r="E95" s="164">
        <f t="shared" si="17"/>
        <v>81300</v>
      </c>
      <c r="F95" s="256">
        <f t="shared" si="18"/>
        <v>72275.7</v>
      </c>
      <c r="G95" s="96" t="s">
        <v>243</v>
      </c>
      <c r="H95" s="103" t="s">
        <v>458</v>
      </c>
      <c r="I95" s="103" t="s">
        <v>459</v>
      </c>
      <c r="J95" s="103"/>
      <c r="K95" s="103"/>
      <c r="L95" s="103"/>
      <c r="M95" s="103"/>
      <c r="N95" s="103"/>
      <c r="O95" s="103"/>
      <c r="P95" s="103"/>
      <c r="Q95" s="103"/>
      <c r="S95" s="211"/>
    </row>
    <row r="96" spans="1:19" ht="15.75" x14ac:dyDescent="0.25">
      <c r="A96" s="96"/>
      <c r="B96" s="150"/>
      <c r="C96" s="96"/>
      <c r="D96" s="209"/>
      <c r="E96" s="42" t="s">
        <v>255</v>
      </c>
      <c r="F96" s="43">
        <f>SUM(F83:F95)</f>
        <v>1646097.6825000001</v>
      </c>
      <c r="Q96" s="103"/>
      <c r="S96" s="211"/>
    </row>
    <row r="97" spans="1:21" ht="15.75" thickBot="1" x14ac:dyDescent="0.25">
      <c r="A97" s="96"/>
      <c r="B97" s="150"/>
      <c r="C97" s="96"/>
      <c r="D97" s="209"/>
      <c r="E97" s="36" t="s">
        <v>256</v>
      </c>
      <c r="F97" s="52">
        <f>$B$121</f>
        <v>799637.57979472622</v>
      </c>
      <c r="G97" s="96"/>
      <c r="H97" s="103"/>
      <c r="I97" s="103"/>
      <c r="J97" s="103"/>
      <c r="K97" s="103"/>
      <c r="L97" s="103"/>
      <c r="M97" s="103"/>
      <c r="N97" s="103"/>
      <c r="O97" s="103"/>
      <c r="P97" s="103"/>
      <c r="Q97" s="103"/>
      <c r="S97" s="211"/>
      <c r="U97" s="112"/>
    </row>
    <row r="98" spans="1:21" ht="16.5" thickTop="1" x14ac:dyDescent="0.25">
      <c r="A98" s="96"/>
      <c r="B98" s="150"/>
      <c r="C98" s="96"/>
      <c r="D98" s="209"/>
      <c r="E98" s="42" t="s">
        <v>780</v>
      </c>
      <c r="F98" s="53">
        <f>F97+F96</f>
        <v>2445735.2622947264</v>
      </c>
      <c r="G98" s="96"/>
      <c r="H98" s="103"/>
      <c r="I98" s="103"/>
      <c r="J98" s="103"/>
      <c r="K98" s="103"/>
      <c r="L98" s="103"/>
      <c r="M98" s="103"/>
      <c r="N98" s="103"/>
      <c r="O98" s="103"/>
      <c r="P98" s="103"/>
      <c r="Q98" s="103"/>
      <c r="S98" s="211"/>
      <c r="U98" s="112"/>
    </row>
    <row r="99" spans="1:21" ht="15.75" x14ac:dyDescent="0.25">
      <c r="A99" s="96"/>
      <c r="B99" s="150"/>
      <c r="C99" s="96"/>
      <c r="D99" s="209"/>
      <c r="E99" s="42"/>
      <c r="F99" s="63"/>
      <c r="G99" s="96"/>
      <c r="H99" s="103"/>
      <c r="I99" s="103"/>
      <c r="J99" s="103"/>
      <c r="K99" s="103"/>
      <c r="L99" s="103"/>
      <c r="M99" s="103"/>
      <c r="N99" s="103"/>
      <c r="O99" s="103"/>
      <c r="P99" s="103"/>
      <c r="Q99" s="103"/>
      <c r="S99" s="211"/>
      <c r="U99" s="112"/>
    </row>
    <row r="100" spans="1:21" ht="15.75" x14ac:dyDescent="0.25">
      <c r="A100" s="96"/>
      <c r="B100" s="150"/>
      <c r="C100" s="96"/>
      <c r="D100" s="209"/>
      <c r="E100" s="42"/>
      <c r="F100" s="63"/>
      <c r="G100" s="96"/>
      <c r="H100" s="103"/>
      <c r="I100" s="103"/>
      <c r="J100" s="103"/>
      <c r="K100" s="103"/>
      <c r="L100" s="103"/>
      <c r="M100" s="103"/>
      <c r="N100" s="103"/>
      <c r="O100" s="103"/>
      <c r="P100" s="103"/>
      <c r="Q100" s="103"/>
      <c r="S100" s="211"/>
      <c r="U100" s="112"/>
    </row>
    <row r="101" spans="1:21" x14ac:dyDescent="0.2">
      <c r="A101" s="119" t="s">
        <v>421</v>
      </c>
      <c r="B101" s="212">
        <f>'21...Inflation Rate'!G56</f>
        <v>2.3563832784155192E-2</v>
      </c>
      <c r="C101" s="133" t="s">
        <v>257</v>
      </c>
      <c r="D101" s="99"/>
      <c r="E101" s="99"/>
      <c r="F101" s="99"/>
      <c r="G101" s="96"/>
      <c r="H101" s="103"/>
      <c r="I101" s="103"/>
      <c r="J101" s="103"/>
      <c r="K101" s="103"/>
      <c r="L101" s="103"/>
      <c r="M101" s="103"/>
      <c r="N101" s="103"/>
      <c r="O101" s="103"/>
      <c r="P101" s="103"/>
      <c r="Q101" s="103"/>
      <c r="S101" s="211"/>
      <c r="U101" s="112"/>
    </row>
    <row r="102" spans="1:21" x14ac:dyDescent="0.2">
      <c r="A102" s="99"/>
      <c r="B102" s="213" t="s">
        <v>259</v>
      </c>
      <c r="C102" s="99"/>
      <c r="D102" s="99"/>
      <c r="E102" s="99"/>
      <c r="F102" s="99"/>
      <c r="G102" s="99"/>
      <c r="H102" s="103"/>
      <c r="I102" s="103"/>
      <c r="J102" s="103"/>
      <c r="K102" s="103"/>
      <c r="L102" s="103"/>
      <c r="M102" s="103"/>
      <c r="N102" s="103"/>
      <c r="O102" s="103"/>
      <c r="P102" s="103"/>
      <c r="Q102" s="103"/>
      <c r="S102" s="211"/>
      <c r="U102" s="112"/>
    </row>
    <row r="103" spans="1:21" x14ac:dyDescent="0.2">
      <c r="A103" s="99"/>
      <c r="B103" s="213" t="s">
        <v>260</v>
      </c>
      <c r="C103" s="99"/>
      <c r="D103" s="99"/>
      <c r="E103" s="99"/>
      <c r="F103" s="99"/>
      <c r="G103" s="99"/>
      <c r="H103" s="103"/>
      <c r="I103" s="103"/>
      <c r="J103" s="103"/>
      <c r="K103" s="103"/>
      <c r="L103" s="103"/>
      <c r="M103" s="103"/>
      <c r="N103" s="103"/>
      <c r="O103" s="103"/>
      <c r="P103" s="103"/>
      <c r="Q103" s="103"/>
      <c r="S103" s="211"/>
      <c r="U103" s="112"/>
    </row>
    <row r="104" spans="1:21" x14ac:dyDescent="0.2">
      <c r="A104" s="99">
        <v>2002</v>
      </c>
      <c r="B104" s="136">
        <f>SUM($F$96)*$B$101</f>
        <v>38788.37053681539</v>
      </c>
      <c r="C104" s="99"/>
      <c r="D104" s="99"/>
      <c r="E104" s="99"/>
      <c r="F104" s="99"/>
      <c r="G104" s="99"/>
      <c r="H104" s="103"/>
      <c r="I104" s="103"/>
      <c r="J104" s="103"/>
      <c r="K104" s="103"/>
      <c r="L104" s="103"/>
      <c r="M104" s="103"/>
      <c r="N104" s="103"/>
      <c r="O104" s="103"/>
      <c r="P104" s="103"/>
      <c r="Q104" s="103"/>
      <c r="S104" s="211"/>
      <c r="U104" s="112"/>
    </row>
    <row r="105" spans="1:21" x14ac:dyDescent="0.2">
      <c r="A105" s="99">
        <v>2003</v>
      </c>
      <c r="B105" s="136">
        <f>SUM(B104,$F$96)*$B$101</f>
        <v>39702.373214114756</v>
      </c>
      <c r="C105" s="99"/>
      <c r="D105" s="99"/>
      <c r="E105" s="99"/>
      <c r="F105" s="99"/>
      <c r="G105" s="99"/>
      <c r="H105" s="103"/>
      <c r="I105" s="103"/>
      <c r="J105" s="103"/>
      <c r="K105" s="103"/>
      <c r="L105" s="103"/>
      <c r="M105" s="103"/>
      <c r="N105" s="103"/>
      <c r="O105" s="103"/>
      <c r="P105" s="103"/>
      <c r="Q105" s="103"/>
      <c r="S105" s="211"/>
      <c r="U105" s="112"/>
    </row>
    <row r="106" spans="1:21" x14ac:dyDescent="0.2">
      <c r="A106" s="99">
        <v>2004</v>
      </c>
      <c r="B106" s="136">
        <f>SUM(B104:B105,$F$96)*$B$101</f>
        <v>40637.91329766628</v>
      </c>
      <c r="C106" s="99"/>
      <c r="D106" s="99"/>
      <c r="E106" s="99"/>
      <c r="F106" s="99"/>
      <c r="G106" s="99"/>
      <c r="H106" s="103"/>
      <c r="I106" s="103"/>
      <c r="J106" s="103"/>
      <c r="K106" s="103"/>
      <c r="L106" s="103"/>
      <c r="M106" s="103"/>
      <c r="N106" s="103"/>
      <c r="O106" s="103"/>
      <c r="P106" s="103"/>
      <c r="Q106" s="103"/>
      <c r="S106" s="211"/>
      <c r="U106" s="112"/>
    </row>
    <row r="107" spans="1:21" x14ac:dyDescent="0.2">
      <c r="A107" s="99">
        <v>2005</v>
      </c>
      <c r="B107" s="136">
        <f>SUM(B104:B106,$F$96)*$B$101</f>
        <v>41595.498291309486</v>
      </c>
      <c r="C107" s="99"/>
      <c r="D107" s="99"/>
      <c r="E107" s="99"/>
      <c r="F107" s="99"/>
      <c r="G107" s="99"/>
      <c r="H107" s="103"/>
      <c r="I107" s="103"/>
      <c r="J107" s="103"/>
      <c r="K107" s="103"/>
      <c r="L107" s="103"/>
      <c r="M107" s="103"/>
      <c r="N107" s="103"/>
      <c r="O107" s="103"/>
      <c r="P107" s="103"/>
      <c r="Q107" s="103"/>
      <c r="S107" s="211"/>
      <c r="U107" s="112"/>
    </row>
    <row r="108" spans="1:21" x14ac:dyDescent="0.2">
      <c r="A108" s="99">
        <f t="shared" ref="A108:A119" si="19">A107+1</f>
        <v>2006</v>
      </c>
      <c r="B108" s="136">
        <f>SUM(B104:B107,$F$96)*$B$101</f>
        <v>42575.647657619513</v>
      </c>
      <c r="C108" s="99"/>
      <c r="D108" s="99"/>
      <c r="E108" s="99"/>
      <c r="F108" s="99"/>
      <c r="G108" s="99"/>
      <c r="H108" s="103"/>
      <c r="I108" s="103"/>
      <c r="J108" s="103"/>
      <c r="K108" s="103"/>
      <c r="L108" s="103"/>
      <c r="M108" s="103"/>
      <c r="N108" s="103"/>
      <c r="O108" s="103"/>
      <c r="P108" s="103"/>
      <c r="Q108" s="103"/>
      <c r="S108" s="211"/>
      <c r="U108" s="112"/>
    </row>
    <row r="109" spans="1:21" x14ac:dyDescent="0.2">
      <c r="A109" s="99">
        <f t="shared" si="19"/>
        <v>2007</v>
      </c>
      <c r="B109" s="136">
        <f>SUM(B104:B108,$F$96)*$B$101</f>
        <v>43578.893099700763</v>
      </c>
      <c r="C109" s="99"/>
      <c r="D109" s="99"/>
      <c r="E109" s="99"/>
      <c r="F109" s="99"/>
      <c r="G109" s="99"/>
      <c r="H109" s="103"/>
      <c r="I109" s="103"/>
      <c r="J109" s="103"/>
      <c r="K109" s="103"/>
      <c r="L109" s="103"/>
      <c r="M109" s="103"/>
      <c r="N109" s="103"/>
      <c r="O109" s="103"/>
      <c r="P109" s="103"/>
      <c r="Q109" s="103"/>
      <c r="S109" s="211"/>
      <c r="U109" s="112"/>
    </row>
    <row r="110" spans="1:21" x14ac:dyDescent="0.2">
      <c r="A110" s="99">
        <f t="shared" si="19"/>
        <v>2008</v>
      </c>
      <c r="B110" s="136">
        <f>SUM(B104:B109,$F$96)*$B$101</f>
        <v>44605.778849620692</v>
      </c>
      <c r="C110" s="99"/>
      <c r="D110" s="99"/>
      <c r="E110" s="99"/>
      <c r="F110" s="99"/>
      <c r="G110" s="99"/>
      <c r="H110" s="103"/>
      <c r="I110" s="103"/>
      <c r="J110" s="103"/>
      <c r="K110" s="103"/>
      <c r="L110" s="103"/>
      <c r="M110" s="103"/>
      <c r="N110" s="103"/>
      <c r="O110" s="103"/>
      <c r="P110" s="103"/>
      <c r="Q110" s="103"/>
      <c r="S110" s="211"/>
      <c r="U110" s="112"/>
    </row>
    <row r="111" spans="1:21" x14ac:dyDescent="0.2">
      <c r="A111" s="99">
        <f t="shared" si="19"/>
        <v>2009</v>
      </c>
      <c r="B111" s="136">
        <f>SUM(B104:B110,$F$96)*$B$101</f>
        <v>45656.861963640164</v>
      </c>
      <c r="C111" s="99"/>
      <c r="D111" s="99"/>
      <c r="E111" s="99"/>
      <c r="F111" s="99"/>
      <c r="G111" s="99"/>
      <c r="H111" s="103"/>
      <c r="I111" s="103"/>
      <c r="J111" s="103"/>
      <c r="K111" s="103"/>
      <c r="L111" s="103"/>
      <c r="M111" s="103"/>
      <c r="N111" s="103"/>
      <c r="O111" s="103"/>
      <c r="P111" s="103"/>
      <c r="Q111" s="103"/>
      <c r="S111" s="211"/>
      <c r="U111" s="112"/>
    </row>
    <row r="112" spans="1:21" x14ac:dyDescent="0.2">
      <c r="A112" s="99">
        <f t="shared" si="19"/>
        <v>2010</v>
      </c>
      <c r="B112" s="136">
        <f>SUM(B104:B111,$F$96)*$B$101</f>
        <v>46732.712624400636</v>
      </c>
      <c r="C112" s="99"/>
      <c r="D112" s="99"/>
      <c r="E112" s="99"/>
      <c r="F112" s="99"/>
      <c r="G112" s="99"/>
      <c r="H112" s="103"/>
      <c r="I112" s="103"/>
      <c r="J112" s="103"/>
      <c r="K112" s="103"/>
      <c r="L112" s="103"/>
      <c r="M112" s="103"/>
      <c r="N112" s="103"/>
      <c r="O112" s="103"/>
      <c r="P112" s="103"/>
      <c r="Q112" s="103"/>
      <c r="S112" s="211"/>
      <c r="U112" s="112"/>
    </row>
    <row r="113" spans="1:21" x14ac:dyDescent="0.2">
      <c r="A113" s="99">
        <f t="shared" si="19"/>
        <v>2011</v>
      </c>
      <c r="B113" s="136">
        <f>SUM($B$104:B112,$F$96)*$B$101</f>
        <v>47833.914450231983</v>
      </c>
      <c r="C113" s="99"/>
      <c r="D113" s="99"/>
      <c r="E113" s="99"/>
      <c r="F113" s="99"/>
      <c r="G113" s="99"/>
      <c r="H113" s="103"/>
      <c r="I113" s="103"/>
      <c r="J113" s="103"/>
      <c r="K113" s="103"/>
      <c r="L113" s="103"/>
      <c r="M113" s="103"/>
      <c r="N113" s="103"/>
      <c r="O113" s="103"/>
      <c r="P113" s="103"/>
      <c r="Q113" s="103"/>
      <c r="S113" s="211"/>
      <c r="U113" s="112"/>
    </row>
    <row r="114" spans="1:21" x14ac:dyDescent="0.2">
      <c r="A114" s="99">
        <f t="shared" si="19"/>
        <v>2012</v>
      </c>
      <c r="B114" s="136">
        <f>SUM($B$104:B113,$F$96)*$B$101</f>
        <v>48961.064811748838</v>
      </c>
      <c r="C114" s="99"/>
      <c r="D114" s="99"/>
      <c r="E114" s="99"/>
      <c r="F114" s="99"/>
      <c r="G114" s="99"/>
      <c r="H114" s="103"/>
      <c r="I114" s="103"/>
      <c r="J114" s="103"/>
      <c r="K114" s="103"/>
      <c r="L114" s="103"/>
      <c r="M114" s="103"/>
      <c r="N114" s="103"/>
      <c r="O114" s="103"/>
      <c r="P114" s="103"/>
      <c r="Q114" s="103"/>
      <c r="S114" s="211"/>
      <c r="U114" s="112"/>
    </row>
    <row r="115" spans="1:21" x14ac:dyDescent="0.2">
      <c r="A115" s="99">
        <f t="shared" si="19"/>
        <v>2013</v>
      </c>
      <c r="B115" s="136">
        <f>SUM($B$104:B114,$F$96)*$B$101</f>
        <v>50114.775155907068</v>
      </c>
      <c r="C115" s="99"/>
      <c r="D115" s="99"/>
      <c r="E115" s="99"/>
      <c r="F115" s="99"/>
      <c r="G115" s="99"/>
      <c r="H115" s="103"/>
      <c r="I115" s="103"/>
      <c r="J115" s="103"/>
      <c r="K115" s="103"/>
      <c r="L115" s="103"/>
      <c r="M115" s="103"/>
      <c r="N115" s="103"/>
      <c r="O115" s="103"/>
      <c r="P115" s="103"/>
      <c r="Q115" s="103"/>
      <c r="S115" s="211"/>
      <c r="U115" s="112"/>
    </row>
    <row r="116" spans="1:21" x14ac:dyDescent="0.2">
      <c r="A116" s="99">
        <f t="shared" si="19"/>
        <v>2014</v>
      </c>
      <c r="B116" s="136">
        <f>SUM($B$104:B115,$F$96)*$B$101</f>
        <v>51295.671337696396</v>
      </c>
      <c r="C116" s="99"/>
      <c r="D116" s="99"/>
      <c r="E116" s="99"/>
      <c r="F116" s="99"/>
      <c r="G116" s="99"/>
      <c r="H116" s="103"/>
      <c r="I116" s="103"/>
      <c r="J116" s="103"/>
      <c r="K116" s="103"/>
      <c r="L116" s="103"/>
      <c r="M116" s="103"/>
      <c r="N116" s="103"/>
      <c r="O116" s="103"/>
      <c r="P116" s="103"/>
      <c r="Q116" s="103"/>
      <c r="S116" s="211"/>
      <c r="U116" s="112"/>
    </row>
    <row r="117" spans="1:21" x14ac:dyDescent="0.2">
      <c r="A117" s="99">
        <f t="shared" si="19"/>
        <v>2015</v>
      </c>
      <c r="B117" s="136">
        <f>SUM($B$104:B116,$F$96)*$B$101</f>
        <v>52504.393959648856</v>
      </c>
      <c r="C117" s="99"/>
      <c r="D117" s="99"/>
      <c r="E117" s="99"/>
      <c r="F117" s="99"/>
      <c r="G117" s="99"/>
      <c r="H117" s="103"/>
      <c r="I117" s="103"/>
      <c r="J117" s="103"/>
      <c r="K117" s="103"/>
      <c r="L117" s="103"/>
      <c r="M117" s="103"/>
      <c r="N117" s="103"/>
      <c r="O117" s="103"/>
      <c r="P117" s="103"/>
      <c r="Q117" s="103"/>
      <c r="S117" s="211"/>
      <c r="U117" s="112"/>
    </row>
    <row r="118" spans="1:21" x14ac:dyDescent="0.2">
      <c r="A118" s="99">
        <f t="shared" si="19"/>
        <v>2016</v>
      </c>
      <c r="B118" s="136">
        <f>SUM($B$104:B117,$F$96)*$B$101</f>
        <v>53741.598719347428</v>
      </c>
      <c r="C118" s="99"/>
      <c r="D118" s="99"/>
      <c r="E118" s="99"/>
      <c r="F118" s="99"/>
      <c r="G118" s="99"/>
      <c r="H118" s="103"/>
      <c r="I118" s="103"/>
      <c r="J118" s="103"/>
      <c r="K118" s="103"/>
      <c r="L118" s="103"/>
      <c r="M118" s="103"/>
      <c r="N118" s="103"/>
      <c r="O118" s="103"/>
      <c r="P118" s="103"/>
      <c r="Q118" s="103"/>
      <c r="S118" s="211"/>
      <c r="U118" s="112"/>
    </row>
    <row r="119" spans="1:21" x14ac:dyDescent="0.2">
      <c r="A119" s="99">
        <f t="shared" si="19"/>
        <v>2017</v>
      </c>
      <c r="B119" s="136">
        <f>SUM($B$104:B118,$F$96)*$B$101</f>
        <v>55007.956765123308</v>
      </c>
      <c r="C119" s="99"/>
      <c r="D119" s="99"/>
      <c r="E119" s="99"/>
      <c r="F119" s="99"/>
      <c r="G119" s="99"/>
      <c r="H119" s="103"/>
      <c r="I119" s="103"/>
      <c r="J119" s="103"/>
      <c r="K119" s="103"/>
      <c r="L119" s="103"/>
      <c r="M119" s="103"/>
      <c r="N119" s="103"/>
      <c r="O119" s="103"/>
      <c r="P119" s="103"/>
      <c r="Q119" s="103"/>
      <c r="S119" s="211"/>
      <c r="U119" s="112"/>
    </row>
    <row r="120" spans="1:21" ht="15.75" thickBot="1" x14ac:dyDescent="0.25">
      <c r="A120" s="99">
        <v>2018</v>
      </c>
      <c r="B120" s="136">
        <f>SUM($B$104:B119,$F$96)*$B$101</f>
        <v>56304.155060134712</v>
      </c>
      <c r="C120" s="99"/>
      <c r="D120" s="99"/>
      <c r="E120" s="99"/>
      <c r="F120" s="99"/>
      <c r="G120" s="99"/>
      <c r="H120" s="103"/>
      <c r="I120" s="103"/>
      <c r="J120" s="103"/>
      <c r="K120" s="103"/>
      <c r="L120" s="103"/>
      <c r="M120" s="103"/>
      <c r="N120" s="103"/>
      <c r="O120" s="103"/>
      <c r="P120" s="103"/>
      <c r="Q120" s="103"/>
      <c r="S120" s="211"/>
      <c r="U120" s="112"/>
    </row>
    <row r="121" spans="1:21" ht="15.75" thickTop="1" x14ac:dyDescent="0.2">
      <c r="A121" s="99"/>
      <c r="B121" s="137">
        <f>SUM(B104:B120)</f>
        <v>799637.57979472622</v>
      </c>
      <c r="C121" s="45" t="s">
        <v>858</v>
      </c>
      <c r="D121" s="99"/>
      <c r="E121" s="99"/>
      <c r="F121" s="99"/>
      <c r="G121" s="99"/>
      <c r="H121" s="103"/>
      <c r="I121" s="103"/>
      <c r="J121" s="103"/>
      <c r="K121" s="103"/>
      <c r="L121" s="103"/>
      <c r="M121" s="103"/>
      <c r="N121" s="103"/>
      <c r="O121" s="103"/>
      <c r="P121" s="103"/>
      <c r="Q121" s="103"/>
      <c r="S121" s="211"/>
      <c r="U121" s="112"/>
    </row>
    <row r="122" spans="1:21" x14ac:dyDescent="0.2">
      <c r="A122" s="99"/>
      <c r="B122" s="214"/>
      <c r="C122" s="45"/>
      <c r="D122" s="96"/>
      <c r="E122" s="96"/>
      <c r="F122" s="99"/>
      <c r="G122" s="99"/>
      <c r="H122" s="103"/>
      <c r="I122" s="103"/>
      <c r="J122" s="103"/>
      <c r="K122" s="103"/>
      <c r="L122" s="103"/>
      <c r="M122" s="103"/>
      <c r="N122" s="103"/>
      <c r="O122" s="103"/>
      <c r="P122" s="103"/>
      <c r="Q122" s="103"/>
      <c r="S122" s="211"/>
      <c r="U122" s="112"/>
    </row>
    <row r="123" spans="1:21" x14ac:dyDescent="0.2">
      <c r="A123" s="99"/>
      <c r="B123" s="214"/>
      <c r="C123" s="45"/>
      <c r="D123" s="96"/>
      <c r="E123" s="96"/>
      <c r="F123" s="98"/>
      <c r="G123" s="96"/>
      <c r="H123" s="103"/>
      <c r="I123" s="103"/>
      <c r="J123" s="103"/>
      <c r="K123" s="103"/>
      <c r="L123" s="103"/>
      <c r="M123" s="103"/>
      <c r="N123" s="103"/>
      <c r="O123" s="103"/>
      <c r="P123" s="103"/>
      <c r="Q123" s="103"/>
      <c r="S123" s="211"/>
      <c r="U123" s="112"/>
    </row>
    <row r="124" spans="1:21" x14ac:dyDescent="0.2">
      <c r="A124" s="99"/>
      <c r="B124" s="214"/>
      <c r="C124" s="45"/>
      <c r="D124" s="96"/>
      <c r="E124" s="96"/>
      <c r="F124" s="98" t="s">
        <v>232</v>
      </c>
      <c r="G124" s="96"/>
      <c r="H124" s="103"/>
      <c r="I124" s="103"/>
      <c r="J124" s="103"/>
      <c r="K124" s="103"/>
      <c r="L124" s="103"/>
      <c r="M124" s="103"/>
      <c r="N124" s="103"/>
      <c r="O124" s="103"/>
      <c r="P124" s="103"/>
      <c r="Q124" s="103"/>
      <c r="S124" s="211"/>
      <c r="U124" s="112"/>
    </row>
    <row r="125" spans="1:21" x14ac:dyDescent="0.2">
      <c r="A125" s="96"/>
      <c r="B125" s="150"/>
      <c r="C125" s="96"/>
      <c r="D125" s="98" t="s">
        <v>235</v>
      </c>
      <c r="E125" s="98" t="s">
        <v>236</v>
      </c>
      <c r="F125" s="98" t="s">
        <v>236</v>
      </c>
      <c r="G125" s="96"/>
      <c r="H125" s="96"/>
      <c r="I125" s="96"/>
      <c r="J125" s="96"/>
      <c r="K125" s="96"/>
      <c r="L125" s="96"/>
      <c r="M125" s="96"/>
      <c r="N125" s="96"/>
      <c r="O125" s="103"/>
      <c r="P125" s="103"/>
      <c r="Q125" s="103"/>
      <c r="S125" s="211"/>
      <c r="U125" s="112"/>
    </row>
    <row r="126" spans="1:21" x14ac:dyDescent="0.2">
      <c r="A126" s="96"/>
      <c r="B126" s="150"/>
      <c r="C126" s="96"/>
      <c r="D126" s="98" t="s">
        <v>242</v>
      </c>
      <c r="E126" s="98" t="s">
        <v>242</v>
      </c>
      <c r="F126" s="98" t="s">
        <v>242</v>
      </c>
      <c r="G126" s="96"/>
      <c r="H126" s="96"/>
      <c r="I126" s="298"/>
      <c r="J126" s="369"/>
      <c r="K126" s="96"/>
      <c r="L126" s="96"/>
      <c r="M126" s="96"/>
      <c r="N126" s="96"/>
      <c r="O126" s="103"/>
      <c r="P126" s="103"/>
      <c r="Q126" s="103"/>
      <c r="S126" s="211"/>
      <c r="U126" s="112"/>
    </row>
    <row r="127" spans="1:21" ht="15.75" x14ac:dyDescent="0.25">
      <c r="A127" s="62" t="s">
        <v>974</v>
      </c>
      <c r="B127" s="150"/>
      <c r="C127" s="96"/>
      <c r="D127" s="153" t="s">
        <v>246</v>
      </c>
      <c r="E127" s="153" t="s">
        <v>247</v>
      </c>
      <c r="F127" s="153" t="s">
        <v>247</v>
      </c>
      <c r="G127" s="96"/>
      <c r="H127" s="96"/>
      <c r="I127" s="308"/>
      <c r="J127" s="372"/>
      <c r="K127" s="370"/>
      <c r="L127" s="96"/>
      <c r="M127" s="96"/>
      <c r="N127" s="96"/>
      <c r="O127" s="103"/>
      <c r="P127" s="103"/>
      <c r="Q127" s="103"/>
      <c r="S127" s="211"/>
      <c r="U127" s="112"/>
    </row>
    <row r="128" spans="1:21" x14ac:dyDescent="0.2">
      <c r="A128" s="10" t="s">
        <v>782</v>
      </c>
      <c r="B128" s="150">
        <v>434075</v>
      </c>
      <c r="C128" s="10" t="s">
        <v>783</v>
      </c>
      <c r="D128" s="209">
        <v>40</v>
      </c>
      <c r="E128" s="164">
        <f>D128*B128</f>
        <v>17363000</v>
      </c>
      <c r="F128" s="164">
        <f>E128</f>
        <v>17363000</v>
      </c>
      <c r="G128" s="96"/>
      <c r="H128" s="96"/>
      <c r="I128" s="308"/>
      <c r="J128" s="372"/>
      <c r="K128" s="308"/>
      <c r="L128" s="96"/>
      <c r="M128" s="96"/>
      <c r="N128" s="96"/>
      <c r="O128" s="103"/>
      <c r="P128" s="103"/>
      <c r="Q128" s="103"/>
      <c r="S128" s="211"/>
      <c r="U128" s="112"/>
    </row>
    <row r="129" spans="1:21" ht="15.75" x14ac:dyDescent="0.25">
      <c r="A129" s="10"/>
      <c r="B129" s="150"/>
      <c r="C129" s="10"/>
      <c r="D129" s="209"/>
      <c r="E129" s="42" t="s">
        <v>725</v>
      </c>
      <c r="F129" s="43">
        <f>SUM(F128:F128)</f>
        <v>17363000</v>
      </c>
      <c r="G129" s="49"/>
      <c r="H129" s="96"/>
      <c r="I129" s="308"/>
      <c r="J129" s="373"/>
      <c r="K129" s="308"/>
      <c r="L129" s="96"/>
      <c r="M129" s="96"/>
      <c r="N129" s="96"/>
      <c r="O129" s="103"/>
      <c r="P129" s="103"/>
      <c r="Q129" s="103"/>
      <c r="S129" s="64"/>
      <c r="U129" s="112"/>
    </row>
    <row r="130" spans="1:21" ht="15.75" x14ac:dyDescent="0.25">
      <c r="A130" s="10"/>
      <c r="B130" s="150"/>
      <c r="C130" s="10"/>
      <c r="D130" s="153"/>
      <c r="E130" s="386" t="s">
        <v>260</v>
      </c>
      <c r="F130" s="334">
        <f>F129*'21...Inflation Rate'!$G$56</f>
        <v>409138.82863128663</v>
      </c>
      <c r="G130" s="49"/>
      <c r="H130" s="96"/>
      <c r="I130" s="308"/>
      <c r="J130" s="373"/>
      <c r="K130" s="308"/>
      <c r="L130" s="214"/>
      <c r="M130" s="96"/>
      <c r="N130" s="96"/>
      <c r="O130" s="103"/>
      <c r="P130" s="103"/>
      <c r="Q130" s="103"/>
      <c r="S130" s="64"/>
      <c r="U130" s="112"/>
    </row>
    <row r="131" spans="1:21" ht="15.75" x14ac:dyDescent="0.25">
      <c r="A131" s="10"/>
      <c r="B131" s="150"/>
      <c r="C131" s="10"/>
      <c r="D131" s="153"/>
      <c r="E131" s="42" t="s">
        <v>780</v>
      </c>
      <c r="F131" s="387">
        <f>F129+F130</f>
        <v>17772138.828631286</v>
      </c>
      <c r="G131" s="49"/>
      <c r="H131" s="96"/>
      <c r="I131" s="308"/>
      <c r="J131" s="373"/>
      <c r="K131" s="308"/>
      <c r="L131" s="214"/>
      <c r="M131" s="96"/>
      <c r="N131" s="96"/>
      <c r="O131" s="103"/>
      <c r="P131" s="103"/>
      <c r="Q131" s="103"/>
      <c r="S131" s="64"/>
      <c r="U131" s="112"/>
    </row>
    <row r="132" spans="1:21" ht="15.75" x14ac:dyDescent="0.25">
      <c r="A132" s="10"/>
      <c r="B132" s="150"/>
      <c r="C132" s="10"/>
      <c r="D132" s="209"/>
      <c r="E132" s="164"/>
      <c r="F132" s="150"/>
      <c r="G132" s="49"/>
      <c r="H132" s="96"/>
      <c r="I132" s="308"/>
      <c r="J132" s="373"/>
      <c r="K132" s="308"/>
      <c r="L132" s="214"/>
      <c r="M132" s="96"/>
      <c r="N132" s="96"/>
      <c r="O132" s="103"/>
      <c r="P132" s="103"/>
      <c r="Q132" s="103"/>
      <c r="S132" s="64"/>
      <c r="U132" s="112"/>
    </row>
    <row r="133" spans="1:21" ht="15.75" x14ac:dyDescent="0.25">
      <c r="A133" s="62" t="s">
        <v>781</v>
      </c>
      <c r="B133" s="150"/>
      <c r="C133" s="10"/>
      <c r="D133" s="209"/>
      <c r="E133" s="164"/>
      <c r="F133" s="150"/>
      <c r="G133" s="49"/>
      <c r="H133" s="96"/>
      <c r="I133" s="308"/>
      <c r="J133" s="373"/>
      <c r="K133" s="308"/>
      <c r="L133" s="214"/>
      <c r="M133" s="96"/>
      <c r="N133" s="96"/>
      <c r="O133" s="103"/>
      <c r="P133" s="103"/>
      <c r="Q133" s="103"/>
      <c r="S133" s="64"/>
      <c r="U133" s="112"/>
    </row>
    <row r="134" spans="1:21" ht="15.75" x14ac:dyDescent="0.25">
      <c r="A134" s="96" t="s">
        <v>932</v>
      </c>
      <c r="B134" s="150">
        <v>5239863</v>
      </c>
      <c r="C134" s="96" t="s">
        <v>416</v>
      </c>
      <c r="D134" s="209">
        <v>5</v>
      </c>
      <c r="E134" s="150">
        <v>26199315</v>
      </c>
      <c r="F134" s="150">
        <v>26199315</v>
      </c>
      <c r="G134" s="49"/>
      <c r="H134" s="96"/>
      <c r="I134" s="308"/>
      <c r="J134" s="373"/>
      <c r="K134" s="308"/>
      <c r="L134" s="214"/>
      <c r="M134" s="96"/>
      <c r="N134" s="96"/>
      <c r="O134" s="103"/>
      <c r="P134" s="103"/>
      <c r="Q134" s="103"/>
      <c r="S134" s="64"/>
      <c r="U134" s="112"/>
    </row>
    <row r="135" spans="1:21" ht="15.75" x14ac:dyDescent="0.25">
      <c r="A135" s="10"/>
      <c r="B135" s="150"/>
      <c r="C135" s="10"/>
      <c r="D135" s="209"/>
      <c r="E135" s="42" t="s">
        <v>725</v>
      </c>
      <c r="F135" s="43">
        <f>SUM(F134:F134)</f>
        <v>26199315</v>
      </c>
      <c r="G135" s="49"/>
      <c r="H135" s="96"/>
      <c r="I135" s="308"/>
      <c r="J135" s="373"/>
      <c r="K135" s="308"/>
      <c r="L135" s="214"/>
      <c r="M135" s="96"/>
      <c r="N135" s="96"/>
      <c r="O135" s="103"/>
      <c r="P135" s="103"/>
      <c r="Q135" s="103"/>
      <c r="S135" s="64"/>
      <c r="U135" s="112"/>
    </row>
    <row r="136" spans="1:21" ht="15.75" x14ac:dyDescent="0.25">
      <c r="A136" s="10"/>
      <c r="B136" s="150"/>
      <c r="C136" s="10"/>
      <c r="D136" s="153"/>
      <c r="E136" s="386" t="s">
        <v>260</v>
      </c>
      <c r="F136" s="334">
        <f>F135*'21...Inflation Rate'!$G$56</f>
        <v>617356.27771940886</v>
      </c>
      <c r="G136" s="49"/>
      <c r="H136" s="96"/>
      <c r="I136" s="308"/>
      <c r="J136" s="373"/>
      <c r="K136" s="371"/>
      <c r="L136" s="214"/>
      <c r="M136" s="96"/>
      <c r="N136" s="96"/>
      <c r="O136" s="103"/>
      <c r="P136" s="103"/>
      <c r="Q136" s="103"/>
      <c r="S136" s="64"/>
      <c r="U136" s="112"/>
    </row>
    <row r="137" spans="1:21" ht="15.75" x14ac:dyDescent="0.25">
      <c r="A137" s="10"/>
      <c r="B137" s="150"/>
      <c r="C137" s="10"/>
      <c r="D137" s="153"/>
      <c r="E137" s="42" t="s">
        <v>780</v>
      </c>
      <c r="F137" s="387">
        <f>F135+F136</f>
        <v>26816671.277719408</v>
      </c>
      <c r="G137" s="49"/>
      <c r="H137" s="96"/>
      <c r="I137" s="96"/>
      <c r="J137" s="96"/>
      <c r="K137" s="96"/>
      <c r="L137" s="214"/>
      <c r="M137" s="96"/>
      <c r="N137" s="96"/>
      <c r="O137" s="103"/>
      <c r="P137" s="103"/>
      <c r="Q137" s="103"/>
      <c r="S137" s="64"/>
      <c r="U137" s="112"/>
    </row>
    <row r="138" spans="1:21" x14ac:dyDescent="0.2">
      <c r="A138" s="10"/>
      <c r="B138" s="150"/>
      <c r="C138" s="10"/>
      <c r="D138" s="209"/>
      <c r="E138" s="164"/>
      <c r="F138" s="150"/>
      <c r="G138" s="49"/>
      <c r="H138" s="96"/>
      <c r="I138" s="96"/>
      <c r="J138" s="96"/>
      <c r="K138" s="96"/>
      <c r="L138" s="214"/>
      <c r="M138" s="96"/>
      <c r="N138" s="96"/>
      <c r="O138" s="103"/>
      <c r="P138" s="103"/>
      <c r="Q138" s="103"/>
      <c r="S138" s="14"/>
      <c r="T138" s="13"/>
      <c r="U138" s="15"/>
    </row>
    <row r="139" spans="1:21" ht="15.75" x14ac:dyDescent="0.25">
      <c r="A139" s="385" t="s">
        <v>987</v>
      </c>
      <c r="B139" s="303"/>
      <c r="C139" s="97"/>
      <c r="D139" s="209"/>
      <c r="E139" s="42"/>
      <c r="F139" s="43"/>
      <c r="G139" s="49"/>
      <c r="H139" s="96"/>
      <c r="I139" s="96"/>
      <c r="J139" s="96"/>
      <c r="K139" s="96"/>
      <c r="L139" s="214"/>
      <c r="M139" s="96"/>
      <c r="N139" s="96"/>
      <c r="O139" s="103"/>
      <c r="P139" s="103"/>
      <c r="Q139" s="103"/>
      <c r="S139" s="14"/>
      <c r="T139" s="13"/>
      <c r="U139" s="15"/>
    </row>
    <row r="140" spans="1:21" x14ac:dyDescent="0.2">
      <c r="A140" s="96" t="s">
        <v>989</v>
      </c>
      <c r="B140" s="150">
        <f>25*43560</f>
        <v>1089000</v>
      </c>
      <c r="C140" s="97" t="s">
        <v>771</v>
      </c>
      <c r="D140" s="209">
        <v>0.8</v>
      </c>
      <c r="E140" s="164">
        <f t="shared" ref="E140:E141" si="20">D140*B140</f>
        <v>871200</v>
      </c>
      <c r="F140" s="150">
        <f t="shared" ref="F140:F141" si="21">E140</f>
        <v>871200</v>
      </c>
      <c r="G140" s="49"/>
      <c r="H140" s="96"/>
      <c r="I140" s="96"/>
      <c r="J140" s="96"/>
      <c r="K140" s="96"/>
      <c r="L140" s="214"/>
      <c r="M140" s="96"/>
      <c r="N140" s="96"/>
      <c r="O140" s="103"/>
      <c r="P140" s="103"/>
      <c r="Q140" s="103"/>
      <c r="S140" s="14"/>
      <c r="T140" s="13"/>
      <c r="U140" s="15"/>
    </row>
    <row r="141" spans="1:21" x14ac:dyDescent="0.2">
      <c r="A141" s="96" t="s">
        <v>990</v>
      </c>
      <c r="B141" s="150">
        <f>25*43560</f>
        <v>1089000</v>
      </c>
      <c r="C141" s="97" t="s">
        <v>771</v>
      </c>
      <c r="D141" s="209">
        <v>0.8</v>
      </c>
      <c r="E141" s="164">
        <f t="shared" si="20"/>
        <v>871200</v>
      </c>
      <c r="F141" s="150">
        <f t="shared" si="21"/>
        <v>871200</v>
      </c>
      <c r="G141" s="49"/>
      <c r="H141" s="96"/>
      <c r="I141" s="96"/>
      <c r="J141" s="96"/>
      <c r="K141" s="96"/>
      <c r="L141" s="214"/>
      <c r="M141" s="96"/>
      <c r="N141" s="96"/>
      <c r="O141" s="103"/>
      <c r="P141" s="103"/>
      <c r="Q141" s="103"/>
      <c r="S141" s="14"/>
      <c r="T141" s="13"/>
      <c r="U141" s="15"/>
    </row>
    <row r="142" spans="1:21" ht="15.75" x14ac:dyDescent="0.25">
      <c r="A142" s="96"/>
      <c r="B142" s="303"/>
      <c r="C142" s="97"/>
      <c r="D142" s="209"/>
      <c r="E142" s="42" t="s">
        <v>780</v>
      </c>
      <c r="F142" s="43">
        <f>SUM(F140:F141)</f>
        <v>1742400</v>
      </c>
      <c r="G142" s="49"/>
      <c r="H142" s="96"/>
      <c r="I142" s="96"/>
      <c r="J142" s="96"/>
      <c r="K142" s="96"/>
      <c r="L142" s="214"/>
      <c r="M142" s="96"/>
      <c r="N142" s="96"/>
      <c r="O142" s="103"/>
      <c r="P142" s="103"/>
      <c r="Q142" s="103"/>
      <c r="S142" s="14"/>
      <c r="T142" s="13"/>
      <c r="U142" s="15"/>
    </row>
    <row r="143" spans="1:21" x14ac:dyDescent="0.2">
      <c r="A143" s="96"/>
      <c r="B143" s="303"/>
      <c r="C143" s="97"/>
      <c r="D143" s="153"/>
      <c r="E143" s="386"/>
      <c r="F143" s="334"/>
      <c r="G143" s="49"/>
      <c r="H143" s="96"/>
      <c r="I143" s="96"/>
      <c r="J143" s="96"/>
      <c r="K143" s="96"/>
      <c r="L143" s="214"/>
      <c r="M143" s="96"/>
      <c r="N143" s="96"/>
      <c r="O143" s="103"/>
      <c r="P143" s="103"/>
      <c r="Q143" s="103"/>
      <c r="S143" s="14"/>
      <c r="T143" s="13"/>
      <c r="U143" s="15"/>
    </row>
    <row r="144" spans="1:21" x14ac:dyDescent="0.2">
      <c r="A144" s="96" t="s">
        <v>258</v>
      </c>
      <c r="B144" s="96"/>
      <c r="C144" s="96"/>
      <c r="D144" s="96"/>
      <c r="E144" s="96"/>
      <c r="F144" s="150"/>
      <c r="G144" s="49"/>
      <c r="H144" s="96"/>
      <c r="I144" s="96"/>
      <c r="J144" s="96"/>
      <c r="K144" s="96"/>
      <c r="L144" s="96"/>
      <c r="M144" s="96"/>
      <c r="N144" s="96"/>
      <c r="O144" s="103"/>
      <c r="P144" s="103"/>
      <c r="Q144" s="103"/>
    </row>
    <row r="145" spans="1:17" x14ac:dyDescent="0.2">
      <c r="A145" s="96" t="s">
        <v>261</v>
      </c>
      <c r="B145" s="181" t="s">
        <v>17</v>
      </c>
      <c r="C145" s="177">
        <f>'1e...Approach 2011 Semi-Update'!C67</f>
        <v>0.88900000000000001</v>
      </c>
      <c r="D145" s="99" t="str">
        <f>'1e...Approach 2011 Semi-Update'!D67</f>
        <v>(875XX Zip Code - RSMeans 2011 Area Factor)</v>
      </c>
      <c r="E145" s="99"/>
      <c r="F145" s="150"/>
      <c r="G145" s="49"/>
      <c r="H145" s="103"/>
      <c r="L145" s="103"/>
      <c r="M145" s="103"/>
      <c r="N145" s="103"/>
      <c r="O145" s="103"/>
      <c r="P145" s="103"/>
      <c r="Q145" s="103"/>
    </row>
    <row r="146" spans="1:17" x14ac:dyDescent="0.2">
      <c r="A146" s="103"/>
      <c r="B146" s="138"/>
      <c r="C146" s="177"/>
      <c r="D146" s="138"/>
      <c r="F146" s="150"/>
      <c r="G146" s="49"/>
      <c r="H146" s="103"/>
      <c r="I146" s="103"/>
      <c r="J146" s="103"/>
      <c r="K146" s="103"/>
    </row>
    <row r="147" spans="1:17" x14ac:dyDescent="0.2">
      <c r="A147" s="103"/>
      <c r="B147" s="97"/>
      <c r="C147" s="177"/>
      <c r="D147" s="138"/>
      <c r="F147" s="150"/>
      <c r="G147" s="49"/>
      <c r="H147" s="103"/>
      <c r="I147" s="103"/>
      <c r="J147" s="103"/>
      <c r="K147" s="103"/>
    </row>
    <row r="148" spans="1:17" x14ac:dyDescent="0.2">
      <c r="A148" s="65"/>
      <c r="E148" s="103"/>
      <c r="F148" s="96"/>
      <c r="G148" s="49"/>
      <c r="H148" s="103"/>
      <c r="I148" s="103"/>
      <c r="J148" s="103"/>
      <c r="K148" s="103"/>
    </row>
    <row r="149" spans="1:17" x14ac:dyDescent="0.2">
      <c r="A149" s="103"/>
      <c r="B149" s="103"/>
      <c r="C149" s="103"/>
      <c r="D149" s="103"/>
      <c r="E149" s="103"/>
      <c r="F149" s="96"/>
      <c r="G149" s="49"/>
      <c r="H149" s="103"/>
      <c r="I149" s="103"/>
      <c r="J149" s="103"/>
      <c r="K149" s="103"/>
    </row>
    <row r="150" spans="1:17" x14ac:dyDescent="0.2">
      <c r="A150" s="96"/>
      <c r="B150" s="150"/>
      <c r="C150" s="103"/>
      <c r="D150" s="103"/>
      <c r="E150" s="150"/>
      <c r="F150" s="96"/>
      <c r="G150" s="49"/>
      <c r="H150" s="103"/>
      <c r="I150" s="103"/>
      <c r="J150" s="103"/>
      <c r="K150" s="103"/>
    </row>
    <row r="151" spans="1:17" x14ac:dyDescent="0.2">
      <c r="A151" s="96"/>
      <c r="B151" s="103"/>
      <c r="C151" s="103"/>
      <c r="F151" s="96"/>
      <c r="G151" s="49"/>
      <c r="H151" s="103"/>
      <c r="I151" s="103"/>
      <c r="J151" s="103"/>
      <c r="K151" s="103"/>
    </row>
    <row r="152" spans="1:17" x14ac:dyDescent="0.2">
      <c r="A152" s="96"/>
      <c r="B152" s="304"/>
      <c r="C152" s="103"/>
      <c r="D152" s="103"/>
      <c r="E152" s="103"/>
      <c r="F152" s="103"/>
      <c r="G152" s="103"/>
      <c r="H152" s="103"/>
      <c r="I152" s="103"/>
      <c r="J152" s="103"/>
      <c r="K152" s="103"/>
    </row>
    <row r="153" spans="1:17" x14ac:dyDescent="0.2">
      <c r="A153" s="96"/>
      <c r="B153" s="304"/>
      <c r="C153" s="103"/>
      <c r="D153" s="103"/>
      <c r="E153" s="103"/>
      <c r="F153" s="103"/>
      <c r="G153" s="103"/>
      <c r="H153" s="103"/>
      <c r="I153" s="103"/>
      <c r="J153" s="103"/>
      <c r="K153" s="103"/>
    </row>
    <row r="154" spans="1:17" x14ac:dyDescent="0.2">
      <c r="A154" s="96"/>
      <c r="B154" s="305"/>
      <c r="C154" s="103"/>
      <c r="D154" s="103"/>
      <c r="E154" s="103"/>
      <c r="F154" s="103"/>
      <c r="G154" s="103"/>
      <c r="H154" s="103"/>
      <c r="I154" s="103"/>
      <c r="J154" s="103"/>
      <c r="K154" s="103"/>
    </row>
    <row r="155" spans="1:17" x14ac:dyDescent="0.2">
      <c r="A155" s="96"/>
      <c r="B155" s="305"/>
      <c r="C155" s="103"/>
      <c r="D155" s="103"/>
      <c r="E155" s="103"/>
      <c r="F155" s="103"/>
      <c r="G155" s="103"/>
      <c r="H155" s="103"/>
      <c r="I155" s="103"/>
      <c r="J155" s="103"/>
      <c r="K155" s="103"/>
    </row>
    <row r="156" spans="1:17" x14ac:dyDescent="0.2">
      <c r="A156" s="96"/>
      <c r="B156" s="122"/>
      <c r="C156" s="103"/>
      <c r="D156" s="103"/>
      <c r="E156" s="103"/>
      <c r="F156" s="103"/>
      <c r="G156" s="103"/>
      <c r="H156" s="103"/>
    </row>
    <row r="157" spans="1:17" x14ac:dyDescent="0.2">
      <c r="A157" s="10"/>
      <c r="B157" s="96"/>
      <c r="C157" s="103"/>
      <c r="D157" s="103"/>
      <c r="E157" s="103"/>
      <c r="F157" s="103"/>
      <c r="G157" s="103"/>
      <c r="H157" s="212"/>
      <c r="I157" s="103"/>
      <c r="J157" s="103"/>
      <c r="K157" s="103"/>
      <c r="L157" s="103"/>
    </row>
    <row r="158" spans="1:17" x14ac:dyDescent="0.2">
      <c r="A158" s="10"/>
      <c r="B158" s="96"/>
      <c r="C158" s="103"/>
      <c r="D158" s="103"/>
      <c r="E158" s="103"/>
      <c r="F158" s="103"/>
      <c r="G158" s="103"/>
      <c r="H158" s="205"/>
      <c r="I158" s="103"/>
      <c r="J158" s="103"/>
      <c r="K158" s="103"/>
      <c r="L158" s="103"/>
    </row>
    <row r="159" spans="1:17" x14ac:dyDescent="0.2">
      <c r="A159" s="10"/>
      <c r="B159" s="96"/>
      <c r="C159" s="103"/>
      <c r="D159" s="103"/>
      <c r="E159" s="103"/>
      <c r="F159" s="103"/>
      <c r="G159" s="103"/>
      <c r="H159" s="205"/>
      <c r="I159" s="103"/>
      <c r="J159" s="103"/>
      <c r="K159" s="103"/>
      <c r="L159" s="103"/>
    </row>
    <row r="160" spans="1:17" x14ac:dyDescent="0.2">
      <c r="A160" s="96"/>
      <c r="B160" s="103"/>
      <c r="C160" s="103"/>
      <c r="D160" s="103"/>
      <c r="E160" s="103"/>
      <c r="F160" s="103"/>
      <c r="G160" s="103"/>
      <c r="H160" s="134"/>
      <c r="I160" s="103"/>
      <c r="J160" s="103"/>
      <c r="K160" s="103"/>
      <c r="L160" s="103"/>
    </row>
    <row r="161" spans="1:17" x14ac:dyDescent="0.2">
      <c r="A161" s="103"/>
      <c r="B161" s="103"/>
      <c r="C161" s="103"/>
      <c r="D161" s="103"/>
      <c r="F161" s="103"/>
      <c r="G161" s="103"/>
      <c r="H161" s="134"/>
      <c r="I161" s="103"/>
      <c r="J161" s="103"/>
      <c r="K161" s="103"/>
      <c r="L161" s="103"/>
    </row>
    <row r="162" spans="1:17" x14ac:dyDescent="0.2">
      <c r="A162" s="103"/>
      <c r="B162" s="103"/>
      <c r="C162" s="103"/>
      <c r="D162" s="103"/>
      <c r="E162" s="103"/>
      <c r="F162" s="103"/>
      <c r="G162" s="103"/>
      <c r="H162" s="134"/>
      <c r="I162" s="96"/>
      <c r="J162" s="103"/>
      <c r="K162" s="103"/>
      <c r="L162" s="103"/>
    </row>
    <row r="163" spans="1:17" x14ac:dyDescent="0.2">
      <c r="A163" s="103"/>
      <c r="B163" s="103"/>
      <c r="C163" s="103"/>
      <c r="D163" s="103"/>
      <c r="E163" s="103"/>
      <c r="F163" s="103"/>
      <c r="G163" s="103"/>
      <c r="H163" s="134"/>
      <c r="I163" s="133"/>
      <c r="J163" s="103"/>
      <c r="K163" s="103"/>
      <c r="L163" s="103"/>
    </row>
    <row r="164" spans="1:17" x14ac:dyDescent="0.2">
      <c r="A164" s="103"/>
      <c r="B164" s="103"/>
      <c r="C164" s="103"/>
      <c r="D164" s="103"/>
      <c r="E164" s="103"/>
      <c r="F164" s="103"/>
      <c r="G164" s="103"/>
      <c r="H164" s="134"/>
      <c r="I164" s="103"/>
      <c r="J164" s="103"/>
      <c r="K164" s="103"/>
      <c r="L164" s="103"/>
    </row>
    <row r="165" spans="1:17" x14ac:dyDescent="0.2">
      <c r="A165" s="103"/>
      <c r="B165" s="103"/>
      <c r="C165" s="103"/>
      <c r="D165" s="103"/>
      <c r="E165" s="103"/>
      <c r="F165" s="103"/>
      <c r="G165" s="103"/>
      <c r="H165" s="134"/>
      <c r="I165" s="103"/>
      <c r="J165" s="103"/>
      <c r="K165" s="103"/>
      <c r="L165" s="103"/>
    </row>
    <row r="166" spans="1:17" x14ac:dyDescent="0.2">
      <c r="A166" s="103"/>
      <c r="B166" s="103"/>
      <c r="C166" s="103"/>
      <c r="D166" s="103"/>
      <c r="E166" s="103"/>
      <c r="F166" s="103"/>
      <c r="G166" s="122"/>
      <c r="H166" s="134"/>
      <c r="I166" s="103"/>
      <c r="J166" s="103"/>
      <c r="K166" s="103"/>
      <c r="L166" s="103"/>
      <c r="M166" s="103"/>
      <c r="N166" s="103"/>
      <c r="O166" s="103"/>
      <c r="P166" s="103"/>
      <c r="Q166" s="103"/>
    </row>
    <row r="167" spans="1:17" x14ac:dyDescent="0.2">
      <c r="A167" s="103"/>
      <c r="B167" s="103"/>
      <c r="C167" s="103"/>
      <c r="D167" s="103"/>
      <c r="E167" s="103"/>
      <c r="F167" s="103"/>
      <c r="G167" s="96"/>
      <c r="H167" s="134"/>
      <c r="I167" s="103"/>
      <c r="J167" s="103"/>
      <c r="K167" s="103"/>
      <c r="L167" s="103"/>
      <c r="M167" s="103"/>
      <c r="N167" s="103"/>
      <c r="O167" s="103"/>
      <c r="P167" s="103"/>
      <c r="Q167" s="103"/>
    </row>
    <row r="168" spans="1:17" x14ac:dyDescent="0.2">
      <c r="A168" s="103"/>
      <c r="B168" s="103"/>
      <c r="C168" s="103"/>
      <c r="D168" s="103"/>
      <c r="E168" s="103"/>
      <c r="F168" s="96"/>
      <c r="G168" s="103"/>
      <c r="H168" s="134"/>
      <c r="I168" s="103"/>
      <c r="J168" s="103"/>
      <c r="K168" s="103"/>
      <c r="L168" s="103"/>
      <c r="M168" s="103"/>
      <c r="N168" s="103"/>
      <c r="O168" s="103"/>
      <c r="P168" s="103"/>
      <c r="Q168" s="103"/>
    </row>
    <row r="169" spans="1:17" x14ac:dyDescent="0.2">
      <c r="A169" s="103"/>
      <c r="B169" s="103"/>
      <c r="C169" s="103"/>
      <c r="D169" s="103"/>
      <c r="E169" s="103"/>
      <c r="F169" s="103"/>
      <c r="G169" s="103"/>
      <c r="H169" s="134"/>
      <c r="I169" s="103"/>
      <c r="J169" s="103"/>
      <c r="K169" s="103"/>
      <c r="L169" s="103"/>
    </row>
    <row r="170" spans="1:17" x14ac:dyDescent="0.2">
      <c r="F170" s="103"/>
      <c r="G170" s="103"/>
      <c r="H170" s="134"/>
      <c r="I170" s="103"/>
      <c r="J170" s="103"/>
      <c r="K170" s="103"/>
      <c r="L170" s="103"/>
    </row>
    <row r="171" spans="1:17" x14ac:dyDescent="0.2">
      <c r="F171" s="103"/>
      <c r="G171" s="96"/>
      <c r="H171" s="134"/>
      <c r="I171" s="103"/>
      <c r="J171" s="103"/>
      <c r="K171" s="103"/>
      <c r="L171" s="103"/>
    </row>
    <row r="172" spans="1:17" x14ac:dyDescent="0.2">
      <c r="F172" s="96"/>
      <c r="G172" s="96"/>
      <c r="H172" s="134"/>
      <c r="I172" s="103"/>
      <c r="J172" s="103"/>
      <c r="K172" s="103"/>
      <c r="L172" s="103"/>
      <c r="M172" s="103"/>
      <c r="N172" s="103"/>
      <c r="O172" s="103"/>
      <c r="P172" s="103"/>
      <c r="Q172" s="103"/>
    </row>
    <row r="173" spans="1:17" x14ac:dyDescent="0.2">
      <c r="F173" s="103"/>
      <c r="G173" s="96"/>
      <c r="H173" s="134"/>
      <c r="I173" s="103"/>
      <c r="J173" s="103"/>
      <c r="K173" s="103"/>
      <c r="L173" s="103"/>
      <c r="M173" s="103"/>
      <c r="N173" s="103"/>
      <c r="O173" s="103"/>
      <c r="P173" s="103"/>
      <c r="Q173" s="103"/>
    </row>
    <row r="174" spans="1:17" x14ac:dyDescent="0.2">
      <c r="F174" s="103"/>
      <c r="G174" s="96"/>
      <c r="H174" s="134"/>
      <c r="I174" s="103"/>
      <c r="J174" s="103"/>
      <c r="K174" s="103"/>
      <c r="L174" s="103"/>
      <c r="M174" s="103"/>
      <c r="N174" s="103"/>
      <c r="O174" s="103"/>
      <c r="P174" s="103"/>
      <c r="Q174" s="103"/>
    </row>
    <row r="175" spans="1:17" x14ac:dyDescent="0.2">
      <c r="F175" s="103"/>
      <c r="G175" s="96"/>
      <c r="H175" s="134"/>
      <c r="I175" s="103"/>
      <c r="J175" s="103"/>
      <c r="K175" s="103"/>
      <c r="L175" s="103"/>
      <c r="M175" s="103"/>
      <c r="N175" s="103"/>
      <c r="O175" s="103"/>
      <c r="P175" s="103"/>
      <c r="Q175" s="103"/>
    </row>
    <row r="176" spans="1:17" x14ac:dyDescent="0.2">
      <c r="F176" s="103"/>
      <c r="G176" s="96"/>
      <c r="H176" s="134"/>
      <c r="I176" s="45"/>
      <c r="J176" s="103"/>
      <c r="K176" s="103"/>
      <c r="L176" s="103"/>
    </row>
    <row r="177" spans="6:12" x14ac:dyDescent="0.2">
      <c r="F177" s="103"/>
      <c r="G177" s="96"/>
      <c r="H177" s="103"/>
      <c r="I177" s="103"/>
      <c r="J177" s="103"/>
      <c r="K177" s="103"/>
      <c r="L177" s="103"/>
    </row>
    <row r="178" spans="6:12" x14ac:dyDescent="0.2">
      <c r="F178" s="103"/>
      <c r="G178" s="96"/>
      <c r="H178" s="103"/>
      <c r="J178" s="103"/>
      <c r="K178" s="103"/>
    </row>
    <row r="179" spans="6:12" x14ac:dyDescent="0.2">
      <c r="F179" s="103"/>
      <c r="G179" s="96"/>
      <c r="H179" s="103"/>
    </row>
    <row r="180" spans="6:12" x14ac:dyDescent="0.2">
      <c r="F180" s="103"/>
      <c r="G180" s="96"/>
      <c r="H180" s="103"/>
    </row>
    <row r="181" spans="6:12" x14ac:dyDescent="0.2">
      <c r="F181" s="103"/>
      <c r="G181" s="96"/>
      <c r="H181" s="103"/>
    </row>
    <row r="182" spans="6:12" x14ac:dyDescent="0.2">
      <c r="F182" s="103"/>
      <c r="G182" s="96"/>
    </row>
    <row r="183" spans="6:12" x14ac:dyDescent="0.2">
      <c r="G183" s="96"/>
    </row>
    <row r="184" spans="6:12" x14ac:dyDescent="0.2">
      <c r="G184" s="96"/>
    </row>
    <row r="185" spans="6:12" x14ac:dyDescent="0.2">
      <c r="G185" s="103"/>
    </row>
    <row r="186" spans="6:12" x14ac:dyDescent="0.2">
      <c r="G186" s="103"/>
    </row>
    <row r="187" spans="6:12" x14ac:dyDescent="0.2">
      <c r="G187" s="103"/>
    </row>
    <row r="188" spans="6:12" x14ac:dyDescent="0.2">
      <c r="G188" s="103"/>
    </row>
    <row r="189" spans="6:12" x14ac:dyDescent="0.2">
      <c r="G189" s="103"/>
    </row>
    <row r="190" spans="6:12" x14ac:dyDescent="0.2">
      <c r="G190" s="103"/>
    </row>
  </sheetData>
  <printOptions horizontalCentered="1"/>
  <pageMargins left="0.35" right="0.3" top="0.41" bottom="0.47" header="0.5" footer="0.5"/>
  <pageSetup scale="47" fitToHeight="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R113"/>
  <sheetViews>
    <sheetView zoomScaleNormal="100" workbookViewId="0"/>
  </sheetViews>
  <sheetFormatPr defaultRowHeight="15" x14ac:dyDescent="0.2"/>
  <cols>
    <col min="1" max="1" width="35.85546875" style="105" customWidth="1"/>
    <col min="2" max="2" width="15.85546875" style="105" customWidth="1"/>
    <col min="3" max="3" width="17.140625" style="105" customWidth="1"/>
    <col min="4" max="4" width="16.140625" style="105" customWidth="1"/>
    <col min="5" max="5" width="14.5703125" style="105" customWidth="1"/>
    <col min="6" max="6" width="12.5703125" style="105" customWidth="1"/>
    <col min="7" max="7" width="15.7109375" style="105" customWidth="1"/>
    <col min="8" max="9" width="12.5703125" style="105" customWidth="1"/>
    <col min="10" max="10" width="14" style="105" customWidth="1"/>
    <col min="11" max="11" width="15.42578125" style="105" bestFit="1" customWidth="1"/>
    <col min="12" max="16384" width="9.140625" style="105"/>
  </cols>
  <sheetData>
    <row r="1" spans="1:18" x14ac:dyDescent="0.2">
      <c r="A1" s="152" t="str">
        <f>General!A1</f>
        <v>FINANCIAL ASSURANCE AMOUNT CALCULATION</v>
      </c>
      <c r="B1" s="152"/>
      <c r="C1" s="152"/>
      <c r="D1" s="152"/>
      <c r="G1" s="103"/>
      <c r="I1" s="104" t="str">
        <f>'1...Describe'!G1</f>
        <v>Questa Mine Site</v>
      </c>
      <c r="J1" s="99"/>
      <c r="K1" s="99"/>
      <c r="L1" s="99"/>
      <c r="M1" s="99"/>
      <c r="N1" s="99"/>
      <c r="O1" s="99"/>
      <c r="P1" s="99"/>
      <c r="Q1" s="99"/>
      <c r="R1" s="99"/>
    </row>
    <row r="2" spans="1:18" x14ac:dyDescent="0.2">
      <c r="A2" s="152" t="str">
        <f>General!A2</f>
        <v>Chevron Mining Inc.</v>
      </c>
      <c r="B2" s="152"/>
      <c r="C2" s="152"/>
      <c r="D2" s="152"/>
      <c r="G2" s="103"/>
      <c r="I2" s="104" t="s">
        <v>474</v>
      </c>
      <c r="K2" s="99"/>
      <c r="L2" s="99"/>
      <c r="M2" s="99"/>
      <c r="N2" s="99"/>
      <c r="O2" s="99"/>
      <c r="P2" s="99"/>
      <c r="Q2" s="99"/>
      <c r="R2" s="99"/>
    </row>
    <row r="3" spans="1:18" x14ac:dyDescent="0.2">
      <c r="A3" s="26" t="s">
        <v>475</v>
      </c>
      <c r="B3" s="152"/>
      <c r="C3" s="152"/>
      <c r="D3" s="152"/>
      <c r="G3" s="103"/>
      <c r="I3" s="107">
        <f>General!$D$2</f>
        <v>37256</v>
      </c>
      <c r="K3" s="96"/>
      <c r="L3" s="99"/>
      <c r="M3" s="99"/>
      <c r="N3" s="99"/>
      <c r="O3" s="99"/>
      <c r="P3" s="99"/>
      <c r="Q3" s="99"/>
      <c r="R3" s="99"/>
    </row>
    <row r="4" spans="1:18" x14ac:dyDescent="0.2">
      <c r="A4" s="152" t="s">
        <v>476</v>
      </c>
      <c r="B4" s="152"/>
      <c r="C4" s="152"/>
      <c r="D4" s="152"/>
      <c r="G4" s="103"/>
      <c r="H4" s="67" t="str">
        <f>General!C3</f>
        <v>Updated by Kiewit/AECOM</v>
      </c>
      <c r="I4" s="114">
        <f>General!$D$3</f>
        <v>43419</v>
      </c>
      <c r="K4" s="99"/>
      <c r="L4" s="99"/>
      <c r="M4" s="99"/>
      <c r="N4" s="99"/>
      <c r="O4" s="99"/>
      <c r="P4" s="99"/>
      <c r="Q4" s="99"/>
      <c r="R4" s="99"/>
    </row>
    <row r="5" spans="1:18" x14ac:dyDescent="0.2">
      <c r="A5" s="103"/>
      <c r="B5" s="103"/>
      <c r="C5" s="103"/>
      <c r="D5" s="103"/>
      <c r="E5" s="103"/>
      <c r="F5" s="103"/>
      <c r="G5" s="103"/>
      <c r="H5" s="103"/>
      <c r="I5" s="103"/>
      <c r="J5" s="103"/>
      <c r="K5" s="335"/>
      <c r="L5" s="99"/>
      <c r="M5" s="99"/>
      <c r="N5" s="99"/>
      <c r="O5" s="99"/>
      <c r="P5" s="99"/>
      <c r="Q5" s="99"/>
      <c r="R5" s="99"/>
    </row>
    <row r="6" spans="1:18" x14ac:dyDescent="0.2">
      <c r="A6" s="26" t="s">
        <v>477</v>
      </c>
      <c r="E6" s="103"/>
      <c r="F6" s="103"/>
      <c r="G6" s="103"/>
      <c r="H6" s="103"/>
      <c r="I6" s="103"/>
      <c r="J6" s="103"/>
      <c r="K6" s="96"/>
      <c r="L6" s="99"/>
      <c r="M6" s="99"/>
      <c r="N6" s="99"/>
      <c r="O6" s="99"/>
      <c r="P6" s="99"/>
      <c r="Q6" s="99"/>
      <c r="R6" s="99"/>
    </row>
    <row r="7" spans="1:18" x14ac:dyDescent="0.2">
      <c r="A7" s="103" t="s">
        <v>191</v>
      </c>
      <c r="E7" s="103"/>
      <c r="F7" s="103"/>
      <c r="G7" s="103"/>
      <c r="H7" s="103"/>
      <c r="I7" s="103"/>
      <c r="J7" s="103"/>
      <c r="K7" s="96"/>
      <c r="L7" s="99"/>
      <c r="M7" s="99"/>
      <c r="N7" s="99"/>
      <c r="O7" s="99"/>
      <c r="P7" s="99"/>
      <c r="Q7" s="99"/>
      <c r="R7" s="99"/>
    </row>
    <row r="8" spans="1:18" x14ac:dyDescent="0.2">
      <c r="A8" s="204" t="s">
        <v>478</v>
      </c>
      <c r="E8" s="103"/>
      <c r="F8" s="103"/>
      <c r="G8" s="103"/>
      <c r="H8" s="103"/>
      <c r="I8" s="103"/>
      <c r="J8" s="103"/>
      <c r="K8" s="96"/>
      <c r="L8" s="99"/>
      <c r="M8" s="99"/>
      <c r="N8" s="99"/>
      <c r="O8" s="99"/>
      <c r="P8" s="99"/>
      <c r="Q8" s="99"/>
      <c r="R8" s="99"/>
    </row>
    <row r="9" spans="1:18" x14ac:dyDescent="0.2">
      <c r="A9" s="204" t="s">
        <v>479</v>
      </c>
      <c r="E9" s="103"/>
      <c r="F9" s="103"/>
      <c r="G9" s="103"/>
      <c r="H9" s="103"/>
      <c r="I9" s="103"/>
      <c r="J9" s="103"/>
      <c r="K9" s="96"/>
      <c r="L9" s="99"/>
      <c r="M9" s="99"/>
      <c r="N9" s="99"/>
      <c r="O9" s="99"/>
      <c r="P9" s="99"/>
      <c r="Q9" s="99"/>
      <c r="R9" s="99"/>
    </row>
    <row r="10" spans="1:18" x14ac:dyDescent="0.2">
      <c r="A10" s="204"/>
      <c r="E10" s="103"/>
      <c r="F10" s="103"/>
      <c r="G10" s="103"/>
      <c r="H10" s="103"/>
      <c r="I10" s="103"/>
      <c r="J10" s="103"/>
      <c r="K10" s="96"/>
      <c r="L10" s="99"/>
      <c r="M10" s="99"/>
      <c r="N10" s="99"/>
      <c r="O10" s="99"/>
      <c r="P10" s="99"/>
      <c r="Q10" s="99"/>
      <c r="R10" s="99"/>
    </row>
    <row r="11" spans="1:18" x14ac:dyDescent="0.2">
      <c r="B11" s="57"/>
      <c r="C11" s="103"/>
      <c r="D11" s="57"/>
      <c r="E11" s="57"/>
      <c r="F11" s="57"/>
      <c r="G11" s="103"/>
      <c r="H11" s="57"/>
      <c r="I11" s="205"/>
      <c r="J11" s="57"/>
      <c r="K11" s="165"/>
      <c r="L11" s="99"/>
      <c r="M11" s="99"/>
      <c r="N11" s="99"/>
      <c r="O11" s="99"/>
      <c r="P11" s="99"/>
      <c r="Q11" s="99"/>
      <c r="R11" s="99"/>
    </row>
    <row r="12" spans="1:18" x14ac:dyDescent="0.2">
      <c r="A12" s="103"/>
      <c r="B12" s="57" t="s">
        <v>444</v>
      </c>
      <c r="C12" s="57" t="s">
        <v>27</v>
      </c>
      <c r="D12" s="205"/>
      <c r="E12" s="57"/>
      <c r="F12" s="57"/>
      <c r="J12" s="57"/>
      <c r="K12" s="99"/>
      <c r="L12" s="99"/>
      <c r="M12" s="99"/>
      <c r="N12" s="99"/>
      <c r="O12" s="99"/>
      <c r="P12" s="99"/>
      <c r="Q12" s="99"/>
      <c r="R12" s="99"/>
    </row>
    <row r="13" spans="1:18" ht="15.75" x14ac:dyDescent="0.25">
      <c r="A13" s="58" t="s">
        <v>445</v>
      </c>
      <c r="B13" s="59"/>
      <c r="C13" s="59"/>
      <c r="D13" s="206"/>
      <c r="E13" s="59"/>
      <c r="F13" s="59"/>
      <c r="J13" s="59"/>
      <c r="K13" s="99"/>
      <c r="L13" s="99"/>
      <c r="M13" s="99"/>
      <c r="N13" s="99"/>
      <c r="O13" s="99"/>
      <c r="P13" s="99"/>
      <c r="Q13" s="99"/>
      <c r="R13" s="99"/>
    </row>
    <row r="14" spans="1:18" x14ac:dyDescent="0.2">
      <c r="A14" s="56" t="s">
        <v>480</v>
      </c>
      <c r="B14" s="96">
        <v>22</v>
      </c>
      <c r="C14" s="96">
        <v>42</v>
      </c>
      <c r="D14" s="96"/>
      <c r="E14" s="103"/>
      <c r="F14" s="96"/>
      <c r="K14" s="99"/>
      <c r="L14" s="99"/>
      <c r="M14" s="99"/>
      <c r="N14" s="99"/>
      <c r="O14" s="99"/>
      <c r="P14" s="99"/>
      <c r="Q14" s="99"/>
      <c r="R14" s="99"/>
    </row>
    <row r="15" spans="1:18" x14ac:dyDescent="0.2">
      <c r="A15" s="56" t="s">
        <v>580</v>
      </c>
      <c r="B15" s="96">
        <v>20</v>
      </c>
      <c r="C15" s="96">
        <v>20</v>
      </c>
      <c r="D15" s="96"/>
      <c r="E15" s="103"/>
      <c r="F15" s="96"/>
      <c r="J15" s="130"/>
      <c r="K15" s="99"/>
      <c r="L15" s="99"/>
      <c r="M15" s="99"/>
      <c r="N15" s="99"/>
      <c r="O15" s="99"/>
      <c r="P15" s="99"/>
      <c r="Q15" s="99"/>
      <c r="R15" s="99"/>
    </row>
    <row r="16" spans="1:18" x14ac:dyDescent="0.2">
      <c r="A16" s="56" t="s">
        <v>581</v>
      </c>
      <c r="B16" s="211">
        <v>5320</v>
      </c>
      <c r="C16" s="211">
        <v>10600</v>
      </c>
      <c r="D16" s="211"/>
      <c r="E16" s="150"/>
      <c r="F16" s="150"/>
      <c r="J16" s="130"/>
      <c r="K16" s="99"/>
      <c r="L16" s="99"/>
      <c r="M16" s="99"/>
      <c r="N16" s="99"/>
      <c r="O16" s="99"/>
      <c r="P16" s="99"/>
      <c r="Q16" s="99"/>
      <c r="R16" s="99"/>
    </row>
    <row r="17" spans="1:18" x14ac:dyDescent="0.2">
      <c r="A17" s="56" t="s">
        <v>582</v>
      </c>
      <c r="B17" s="211">
        <v>5000</v>
      </c>
      <c r="C17" s="211">
        <v>5000</v>
      </c>
      <c r="D17" s="211"/>
      <c r="E17" s="150"/>
      <c r="F17" s="150"/>
      <c r="G17" s="103"/>
      <c r="J17" s="130"/>
      <c r="K17" s="99"/>
      <c r="L17" s="99"/>
      <c r="M17" s="99"/>
      <c r="N17" s="99"/>
      <c r="O17" s="99"/>
      <c r="P17" s="99"/>
      <c r="Q17" s="99"/>
      <c r="R17" s="99"/>
    </row>
    <row r="18" spans="1:18" x14ac:dyDescent="0.2">
      <c r="A18" s="56" t="s">
        <v>583</v>
      </c>
      <c r="B18" s="254">
        <f t="shared" ref="B18:C18" si="0">SUM(B16:B17)*0.25</f>
        <v>2580</v>
      </c>
      <c r="C18" s="254">
        <f t="shared" si="0"/>
        <v>3900</v>
      </c>
      <c r="D18" s="211"/>
      <c r="E18" s="150"/>
      <c r="F18" s="150"/>
      <c r="G18" s="103"/>
      <c r="J18" s="130"/>
      <c r="K18" s="99"/>
      <c r="L18" s="99"/>
      <c r="M18" s="99"/>
      <c r="N18" s="99"/>
      <c r="O18" s="99"/>
      <c r="P18" s="99"/>
      <c r="Q18" s="99"/>
      <c r="R18" s="99"/>
    </row>
    <row r="19" spans="1:18" x14ac:dyDescent="0.2">
      <c r="A19" s="68" t="s">
        <v>302</v>
      </c>
      <c r="B19" s="250">
        <f>SUM(B16:B18)</f>
        <v>12900</v>
      </c>
      <c r="C19" s="250">
        <f>SUM(C16:C18)</f>
        <v>19500</v>
      </c>
      <c r="D19" s="251"/>
      <c r="E19" s="251"/>
      <c r="F19" s="251"/>
      <c r="G19" s="103"/>
      <c r="J19" s="250"/>
    </row>
    <row r="20" spans="1:18" x14ac:dyDescent="0.2">
      <c r="A20" s="204"/>
      <c r="B20" s="103"/>
      <c r="C20" s="103"/>
      <c r="D20" s="103"/>
      <c r="E20" s="96"/>
      <c r="F20" s="96"/>
      <c r="J20" s="103"/>
      <c r="K20" s="103"/>
    </row>
    <row r="21" spans="1:18" ht="15.75" x14ac:dyDescent="0.25">
      <c r="A21" s="99"/>
      <c r="B21" s="70" t="s">
        <v>585</v>
      </c>
      <c r="C21" s="88">
        <f>SUM(B19:C19)</f>
        <v>32400</v>
      </c>
      <c r="E21" s="96"/>
      <c r="F21" s="99"/>
      <c r="J21" s="103"/>
      <c r="K21" s="103"/>
    </row>
    <row r="22" spans="1:18" ht="15.75" thickBot="1" x14ac:dyDescent="0.25">
      <c r="A22" s="99"/>
      <c r="B22" s="36" t="s">
        <v>256</v>
      </c>
      <c r="C22" s="44">
        <f>C45</f>
        <v>15739.198141632232</v>
      </c>
      <c r="E22" s="99"/>
      <c r="F22" s="99"/>
      <c r="J22" s="103"/>
      <c r="K22" s="103"/>
    </row>
    <row r="23" spans="1:18" ht="16.5" thickTop="1" x14ac:dyDescent="0.25">
      <c r="A23" s="99"/>
      <c r="B23" s="70" t="s">
        <v>859</v>
      </c>
      <c r="C23" s="43">
        <f>SUM(C21:C22)</f>
        <v>48139.198141632231</v>
      </c>
      <c r="E23" s="99"/>
      <c r="F23" s="99"/>
      <c r="K23" s="103"/>
    </row>
    <row r="24" spans="1:18" ht="15.75" x14ac:dyDescent="0.25">
      <c r="A24" s="99"/>
      <c r="B24" s="99"/>
      <c r="C24" s="99"/>
      <c r="D24" s="99"/>
      <c r="E24" s="99"/>
      <c r="F24" s="99"/>
      <c r="G24" s="99"/>
      <c r="H24" s="70"/>
      <c r="I24" s="43"/>
      <c r="K24" s="103"/>
    </row>
    <row r="25" spans="1:18" x14ac:dyDescent="0.2">
      <c r="A25" s="99"/>
      <c r="B25" s="119" t="s">
        <v>421</v>
      </c>
      <c r="C25" s="132">
        <f>'21...Inflation Rate'!G56</f>
        <v>2.3563832784155192E-2</v>
      </c>
      <c r="D25" s="133" t="s">
        <v>257</v>
      </c>
      <c r="E25" s="99"/>
      <c r="F25" s="96"/>
      <c r="G25" s="99"/>
      <c r="H25" s="99"/>
      <c r="I25" s="99"/>
      <c r="K25" s="103"/>
    </row>
    <row r="26" spans="1:18" x14ac:dyDescent="0.2">
      <c r="A26" s="99"/>
      <c r="B26" s="99"/>
      <c r="C26" s="213" t="s">
        <v>259</v>
      </c>
      <c r="D26" s="99"/>
      <c r="E26" s="99"/>
      <c r="F26" s="96"/>
      <c r="G26" s="99"/>
      <c r="H26" s="99"/>
      <c r="I26" s="99"/>
      <c r="K26" s="103"/>
    </row>
    <row r="27" spans="1:18" x14ac:dyDescent="0.2">
      <c r="A27" s="99"/>
      <c r="B27" s="99"/>
      <c r="C27" s="213" t="s">
        <v>260</v>
      </c>
      <c r="D27" s="99"/>
      <c r="E27" s="96"/>
      <c r="F27" s="96"/>
      <c r="G27" s="96"/>
      <c r="H27" s="96"/>
      <c r="I27" s="96"/>
      <c r="J27" s="103"/>
      <c r="K27" s="103"/>
    </row>
    <row r="28" spans="1:18" ht="15.75" x14ac:dyDescent="0.25">
      <c r="A28" s="99"/>
      <c r="B28" s="99">
        <v>2002</v>
      </c>
      <c r="C28" s="136">
        <f>($C$21)*$C$25</f>
        <v>763.46818220662817</v>
      </c>
      <c r="D28" s="136"/>
      <c r="E28" s="96"/>
      <c r="F28" s="96"/>
      <c r="G28" s="103"/>
      <c r="H28" s="69"/>
      <c r="I28" s="69"/>
      <c r="J28" s="255"/>
      <c r="K28" s="103"/>
    </row>
    <row r="29" spans="1:18" x14ac:dyDescent="0.2">
      <c r="A29" s="99"/>
      <c r="B29" s="99">
        <v>2003</v>
      </c>
      <c r="C29" s="136">
        <f>SUM($C$21,C28)*C25</f>
        <v>781.45841878816805</v>
      </c>
      <c r="D29" s="136"/>
      <c r="E29" s="96"/>
      <c r="F29" s="96"/>
      <c r="G29" s="103"/>
      <c r="H29" s="36"/>
      <c r="I29" s="36"/>
      <c r="J29" s="60"/>
      <c r="K29" s="103"/>
    </row>
    <row r="30" spans="1:18" ht="15.75" x14ac:dyDescent="0.25">
      <c r="A30" s="99"/>
      <c r="B30" s="99">
        <v>2004</v>
      </c>
      <c r="C30" s="136">
        <f>SUM(C28:C29,C21)*C25</f>
        <v>799.87257429626288</v>
      </c>
      <c r="D30" s="214"/>
      <c r="E30" s="96"/>
      <c r="F30" s="96"/>
      <c r="G30" s="103"/>
      <c r="H30" s="69"/>
      <c r="I30" s="69"/>
      <c r="J30" s="43"/>
      <c r="K30" s="103"/>
    </row>
    <row r="31" spans="1:18" ht="15.75" x14ac:dyDescent="0.25">
      <c r="A31" s="99"/>
      <c r="B31" s="99">
        <v>2005</v>
      </c>
      <c r="C31" s="136">
        <f>SUM(C28:C30,C21)*C25</f>
        <v>818.72063788561172</v>
      </c>
      <c r="D31" s="214"/>
      <c r="E31" s="96"/>
      <c r="F31" s="96"/>
      <c r="G31" s="103"/>
      <c r="H31" s="69"/>
      <c r="I31" s="69"/>
      <c r="J31" s="43"/>
      <c r="K31" s="103"/>
    </row>
    <row r="32" spans="1:18" x14ac:dyDescent="0.2">
      <c r="A32" s="99"/>
      <c r="B32" s="99">
        <v>2006</v>
      </c>
      <c r="C32" s="136">
        <f>SUM(C28:C31,C21)*C25</f>
        <v>838.01283409368523</v>
      </c>
      <c r="D32" s="96"/>
      <c r="E32" s="96"/>
      <c r="F32" s="96"/>
      <c r="G32" s="103"/>
      <c r="H32" s="103"/>
      <c r="I32" s="103"/>
      <c r="J32" s="103"/>
      <c r="K32" s="103"/>
    </row>
    <row r="33" spans="1:11" ht="15.75" x14ac:dyDescent="0.25">
      <c r="A33" s="99"/>
      <c r="B33" s="99">
        <v>2007</v>
      </c>
      <c r="C33" s="136">
        <f>SUM(C28:C32,C21)*C25</f>
        <v>857.75962838724479</v>
      </c>
      <c r="D33" s="96"/>
      <c r="E33" s="96"/>
      <c r="F33" s="96"/>
      <c r="G33" s="103"/>
      <c r="H33" s="70"/>
      <c r="I33" s="70"/>
      <c r="J33" s="255"/>
      <c r="K33" s="103"/>
    </row>
    <row r="34" spans="1:11" x14ac:dyDescent="0.2">
      <c r="A34" s="99"/>
      <c r="B34" s="99">
        <v>2008</v>
      </c>
      <c r="C34" s="136">
        <f>SUM(C28:C33,C21)*C25</f>
        <v>877.9717328395609</v>
      </c>
      <c r="D34" s="96"/>
      <c r="E34" s="96"/>
      <c r="F34" s="96"/>
      <c r="G34" s="103"/>
      <c r="H34" s="36"/>
      <c r="I34" s="36"/>
      <c r="J34" s="60"/>
      <c r="K34" s="103"/>
    </row>
    <row r="35" spans="1:11" ht="15.75" x14ac:dyDescent="0.25">
      <c r="A35" s="99"/>
      <c r="B35" s="99">
        <v>2009</v>
      </c>
      <c r="C35" s="136">
        <f>SUM(C28:C34,C21)*C25</f>
        <v>898.66011194140731</v>
      </c>
      <c r="D35" s="96"/>
      <c r="E35" s="96"/>
      <c r="F35" s="96"/>
      <c r="G35" s="103"/>
      <c r="H35" s="70"/>
      <c r="I35" s="70"/>
      <c r="J35" s="43"/>
      <c r="K35" s="103"/>
    </row>
    <row r="36" spans="1:11" ht="15.75" x14ac:dyDescent="0.25">
      <c r="A36" s="99"/>
      <c r="B36" s="99">
        <v>2010</v>
      </c>
      <c r="C36" s="136">
        <f>SUM(C28:C35,$C$21)*$C$25</f>
        <v>919.8359885489848</v>
      </c>
      <c r="D36" s="96"/>
      <c r="E36" s="96"/>
      <c r="F36" s="96"/>
      <c r="G36" s="103"/>
      <c r="H36" s="70"/>
      <c r="I36" s="70"/>
      <c r="J36" s="43"/>
      <c r="K36" s="103"/>
    </row>
    <row r="37" spans="1:11" ht="15.75" x14ac:dyDescent="0.25">
      <c r="A37" s="99"/>
      <c r="B37" s="99">
        <v>2011</v>
      </c>
      <c r="C37" s="136">
        <f>SUM($C$28:C36,$C$21)*$C$25</f>
        <v>941.5108499720011</v>
      </c>
      <c r="D37" s="96"/>
      <c r="E37" s="96"/>
      <c r="F37" s="96"/>
      <c r="G37" s="103"/>
      <c r="H37" s="70"/>
      <c r="I37" s="70"/>
      <c r="J37" s="43"/>
      <c r="K37" s="103"/>
    </row>
    <row r="38" spans="1:11" ht="15.75" x14ac:dyDescent="0.25">
      <c r="A38" s="99"/>
      <c r="B38" s="99">
        <v>2012</v>
      </c>
      <c r="C38" s="136">
        <f>SUM($C$28:C37,$C$21)*$C$25</f>
        <v>963.69645420520919</v>
      </c>
      <c r="D38" s="96"/>
      <c r="E38" s="96"/>
      <c r="F38" s="96"/>
      <c r="G38" s="103"/>
      <c r="H38" s="70"/>
      <c r="I38" s="70"/>
      <c r="J38" s="43"/>
      <c r="K38" s="103"/>
    </row>
    <row r="39" spans="1:11" ht="15.75" x14ac:dyDescent="0.25">
      <c r="A39" s="99"/>
      <c r="B39" s="99">
        <v>2013</v>
      </c>
      <c r="C39" s="136">
        <f>SUM($C$28:C38,$C$21)*$C$25</f>
        <v>986.40483630678398</v>
      </c>
      <c r="D39" s="96"/>
      <c r="E39" s="96"/>
      <c r="F39" s="96"/>
      <c r="G39" s="103"/>
      <c r="H39" s="70"/>
      <c r="I39" s="70"/>
      <c r="J39" s="43"/>
      <c r="K39" s="103"/>
    </row>
    <row r="40" spans="1:11" ht="15.75" x14ac:dyDescent="0.25">
      <c r="A40" s="99"/>
      <c r="B40" s="99">
        <v>2014</v>
      </c>
      <c r="C40" s="136">
        <f>SUM($C$28:C39,$C$21)*$C$25</f>
        <v>1009.6483149269991</v>
      </c>
      <c r="D40" s="96"/>
      <c r="E40" s="96"/>
      <c r="F40" s="96"/>
      <c r="G40" s="103"/>
      <c r="H40" s="70"/>
      <c r="I40" s="70"/>
      <c r="J40" s="43"/>
      <c r="K40" s="103"/>
    </row>
    <row r="41" spans="1:11" ht="15.75" x14ac:dyDescent="0.25">
      <c r="A41" s="99"/>
      <c r="B41" s="99">
        <v>2015</v>
      </c>
      <c r="C41" s="136">
        <f>SUM($C$28:C40,$C$21)*$C$25</f>
        <v>1033.439498990743</v>
      </c>
      <c r="D41" s="96"/>
      <c r="E41" s="96"/>
      <c r="F41" s="96"/>
      <c r="G41" s="103"/>
      <c r="H41" s="70"/>
      <c r="I41" s="70"/>
      <c r="J41" s="43"/>
      <c r="K41" s="103"/>
    </row>
    <row r="42" spans="1:11" ht="15.75" x14ac:dyDescent="0.25">
      <c r="A42" s="99"/>
      <c r="B42" s="99">
        <v>2016</v>
      </c>
      <c r="C42" s="136">
        <f>SUM($C$28:C41,$C$21)*$C$25</f>
        <v>1057.7912945375017</v>
      </c>
      <c r="D42" s="96"/>
      <c r="E42" s="96"/>
      <c r="F42" s="96"/>
      <c r="G42" s="103"/>
      <c r="H42" s="70"/>
      <c r="I42" s="70"/>
      <c r="J42" s="43"/>
      <c r="K42" s="103"/>
    </row>
    <row r="43" spans="1:11" ht="15.75" x14ac:dyDescent="0.25">
      <c r="A43" s="99"/>
      <c r="B43" s="99">
        <v>2017</v>
      </c>
      <c r="C43" s="136">
        <f>SUM($C$28:C42,$C$21)*$C$25</f>
        <v>1082.7169117225187</v>
      </c>
      <c r="D43" s="96"/>
      <c r="E43" s="96"/>
      <c r="F43" s="96"/>
      <c r="G43" s="103"/>
      <c r="H43" s="70"/>
      <c r="I43" s="70"/>
      <c r="J43" s="43"/>
      <c r="K43" s="103"/>
    </row>
    <row r="44" spans="1:11" ht="16.5" thickBot="1" x14ac:dyDescent="0.3">
      <c r="A44" s="99"/>
      <c r="B44" s="99">
        <v>2018</v>
      </c>
      <c r="C44" s="136">
        <f>SUM($C$28:C43,$C$21)*$C$25</f>
        <v>1108.229871982925</v>
      </c>
      <c r="D44" s="96"/>
      <c r="E44" s="96"/>
      <c r="F44" s="96"/>
      <c r="G44" s="103"/>
      <c r="H44" s="70"/>
      <c r="I44" s="70"/>
      <c r="J44" s="43"/>
      <c r="K44" s="103"/>
    </row>
    <row r="45" spans="1:11" ht="16.5" thickTop="1" x14ac:dyDescent="0.25">
      <c r="A45" s="99"/>
      <c r="B45" s="99"/>
      <c r="C45" s="137">
        <f>SUM(C28:C44)</f>
        <v>15739.198141632232</v>
      </c>
      <c r="D45" s="329" t="s">
        <v>858</v>
      </c>
      <c r="E45" s="96"/>
      <c r="F45" s="96"/>
      <c r="G45" s="103"/>
      <c r="H45" s="70"/>
      <c r="I45" s="70"/>
      <c r="J45" s="43"/>
      <c r="K45" s="103"/>
    </row>
    <row r="46" spans="1:11" ht="15.75" x14ac:dyDescent="0.25">
      <c r="A46" s="99"/>
      <c r="B46" s="214"/>
      <c r="C46" s="45"/>
      <c r="D46" s="96"/>
      <c r="E46" s="96"/>
      <c r="F46" s="96"/>
      <c r="H46" s="70"/>
      <c r="I46" s="70"/>
      <c r="J46" s="43"/>
      <c r="K46" s="103"/>
    </row>
    <row r="47" spans="1:11" x14ac:dyDescent="0.2">
      <c r="A47" s="27" t="s">
        <v>481</v>
      </c>
      <c r="B47" s="99"/>
      <c r="C47" s="99"/>
      <c r="D47" s="99"/>
      <c r="E47" s="96"/>
      <c r="F47" s="96"/>
      <c r="G47" s="103"/>
      <c r="H47" s="103"/>
      <c r="I47" s="103"/>
      <c r="K47" s="103"/>
    </row>
    <row r="48" spans="1:11" x14ac:dyDescent="0.2">
      <c r="A48" s="34" t="s">
        <v>191</v>
      </c>
      <c r="B48" s="99"/>
      <c r="C48" s="99"/>
      <c r="D48" s="99"/>
      <c r="E48" s="96"/>
      <c r="F48" s="96"/>
      <c r="G48" s="103"/>
      <c r="H48" s="103"/>
      <c r="I48" s="103"/>
      <c r="K48" s="103"/>
    </row>
    <row r="49" spans="1:11" x14ac:dyDescent="0.2">
      <c r="A49" s="96" t="s">
        <v>470</v>
      </c>
      <c r="B49" s="99"/>
      <c r="C49" s="99"/>
      <c r="D49" s="99"/>
      <c r="E49" s="96"/>
      <c r="F49" s="96"/>
      <c r="G49" s="103"/>
      <c r="H49" s="103"/>
      <c r="I49" s="103"/>
      <c r="K49" s="103"/>
    </row>
    <row r="50" spans="1:11" x14ac:dyDescent="0.2">
      <c r="A50" s="96"/>
      <c r="B50" s="99"/>
      <c r="C50" s="99"/>
      <c r="D50" s="99"/>
      <c r="E50" s="96"/>
      <c r="F50" s="96"/>
      <c r="G50" s="103"/>
      <c r="H50" s="103"/>
      <c r="I50" s="103"/>
      <c r="J50" s="99"/>
      <c r="K50" s="103"/>
    </row>
    <row r="51" spans="1:11" x14ac:dyDescent="0.2">
      <c r="A51" s="96" t="s">
        <v>471</v>
      </c>
      <c r="B51" s="330">
        <v>4081.2</v>
      </c>
      <c r="C51" s="99" t="s">
        <v>482</v>
      </c>
      <c r="D51" s="99"/>
      <c r="E51" s="96"/>
      <c r="F51" s="96"/>
      <c r="G51" s="103"/>
      <c r="H51" s="103"/>
      <c r="I51" s="103"/>
      <c r="J51" s="99"/>
      <c r="K51" s="103"/>
    </row>
    <row r="52" spans="1:11" x14ac:dyDescent="0.2">
      <c r="A52" s="96"/>
      <c r="B52" s="330"/>
      <c r="C52" s="119" t="s">
        <v>259</v>
      </c>
      <c r="D52" s="119" t="s">
        <v>259</v>
      </c>
      <c r="E52" s="96"/>
      <c r="F52" s="119" t="s">
        <v>421</v>
      </c>
      <c r="K52" s="103"/>
    </row>
    <row r="53" spans="1:11" x14ac:dyDescent="0.2">
      <c r="A53" s="96"/>
      <c r="B53" s="330"/>
      <c r="C53" s="119" t="s">
        <v>242</v>
      </c>
      <c r="D53" s="119" t="s">
        <v>242</v>
      </c>
      <c r="E53" s="96"/>
      <c r="F53" s="212">
        <f>(1+'21...Inflation Rate'!$G$56)^17-1</f>
        <v>0.48577772042074852</v>
      </c>
      <c r="G53" s="133" t="s">
        <v>858</v>
      </c>
      <c r="H53" s="133"/>
      <c r="I53" s="99"/>
      <c r="K53" s="103"/>
    </row>
    <row r="54" spans="1:11" x14ac:dyDescent="0.2">
      <c r="A54" s="96"/>
      <c r="B54" s="331" t="s">
        <v>483</v>
      </c>
      <c r="C54" s="332">
        <v>2001</v>
      </c>
      <c r="D54" s="332">
        <v>2018</v>
      </c>
      <c r="E54" s="96"/>
      <c r="F54" s="99"/>
      <c r="G54" s="123"/>
      <c r="H54" s="123"/>
      <c r="K54" s="103"/>
    </row>
    <row r="55" spans="1:11" x14ac:dyDescent="0.2">
      <c r="A55" s="96" t="s">
        <v>594</v>
      </c>
      <c r="B55" s="99">
        <v>30</v>
      </c>
      <c r="C55" s="130">
        <f>B51*B55</f>
        <v>122436</v>
      </c>
      <c r="D55" s="333">
        <f>C55*(1+$F$53)</f>
        <v>181912.68097743476</v>
      </c>
      <c r="E55" s="251"/>
      <c r="F55" s="99"/>
      <c r="G55" s="135"/>
      <c r="H55" s="135"/>
      <c r="K55" s="103"/>
    </row>
    <row r="56" spans="1:11" x14ac:dyDescent="0.2">
      <c r="A56" s="96" t="s">
        <v>595</v>
      </c>
      <c r="B56" s="96">
        <v>15</v>
      </c>
      <c r="C56" s="130">
        <f>B51*B56</f>
        <v>61218</v>
      </c>
      <c r="D56" s="333">
        <f>C56*(1+$F$53)</f>
        <v>90956.340488717382</v>
      </c>
      <c r="E56" s="251"/>
      <c r="F56" s="99"/>
      <c r="G56" s="135"/>
      <c r="H56" s="135"/>
      <c r="K56" s="103"/>
    </row>
    <row r="57" spans="1:11" x14ac:dyDescent="0.2">
      <c r="A57" s="96" t="s">
        <v>968</v>
      </c>
      <c r="B57" s="96">
        <v>10</v>
      </c>
      <c r="C57" s="130">
        <f>B51*B57</f>
        <v>40812</v>
      </c>
      <c r="D57" s="333">
        <f>C57*(1+$F$53)</f>
        <v>60637.560325811588</v>
      </c>
      <c r="E57" s="251"/>
      <c r="F57" s="99"/>
      <c r="G57" s="136"/>
      <c r="H57" s="136"/>
      <c r="I57" s="99"/>
      <c r="J57" s="103"/>
      <c r="K57" s="103"/>
    </row>
    <row r="58" spans="1:11" x14ac:dyDescent="0.2">
      <c r="A58" s="96"/>
      <c r="B58" s="96"/>
      <c r="C58" s="98"/>
      <c r="D58" s="334"/>
      <c r="E58" s="96"/>
      <c r="F58" s="99"/>
      <c r="G58" s="214"/>
      <c r="H58" s="214"/>
      <c r="I58" s="99"/>
      <c r="J58" s="103"/>
      <c r="K58" s="103"/>
    </row>
    <row r="59" spans="1:11" x14ac:dyDescent="0.2">
      <c r="A59" s="96"/>
      <c r="B59" s="96"/>
      <c r="C59" s="98"/>
      <c r="D59" s="334"/>
      <c r="E59" s="96"/>
      <c r="F59" s="99"/>
      <c r="G59" s="214"/>
      <c r="H59" s="214"/>
      <c r="I59" s="99"/>
      <c r="J59" s="103"/>
      <c r="K59" s="103"/>
    </row>
    <row r="60" spans="1:11" x14ac:dyDescent="0.2">
      <c r="A60" s="96" t="s">
        <v>258</v>
      </c>
      <c r="B60" s="96"/>
      <c r="C60" s="98"/>
      <c r="D60" s="334"/>
      <c r="E60" s="96"/>
      <c r="F60" s="99"/>
      <c r="G60" s="134"/>
      <c r="H60" s="134"/>
      <c r="J60" s="103"/>
      <c r="K60" s="103"/>
    </row>
    <row r="61" spans="1:11" x14ac:dyDescent="0.2">
      <c r="A61" s="96"/>
      <c r="B61" s="96" t="s">
        <v>484</v>
      </c>
      <c r="C61" s="98"/>
      <c r="D61" s="334"/>
      <c r="E61" s="96"/>
      <c r="F61" s="99"/>
      <c r="G61" s="134"/>
      <c r="H61" s="134"/>
      <c r="J61" s="103"/>
      <c r="K61" s="103"/>
    </row>
    <row r="62" spans="1:11" x14ac:dyDescent="0.2">
      <c r="A62" s="96"/>
      <c r="B62" s="96" t="s">
        <v>485</v>
      </c>
      <c r="C62" s="98"/>
      <c r="D62" s="334"/>
      <c r="E62" s="96"/>
      <c r="F62" s="99"/>
      <c r="G62" s="134"/>
      <c r="H62" s="134"/>
      <c r="J62" s="103"/>
      <c r="K62" s="103"/>
    </row>
    <row r="63" spans="1:11" x14ac:dyDescent="0.2">
      <c r="A63" s="96"/>
      <c r="B63" s="96"/>
      <c r="C63" s="98"/>
      <c r="D63" s="334"/>
      <c r="E63" s="96"/>
      <c r="F63" s="99"/>
      <c r="G63" s="134"/>
      <c r="H63" s="134"/>
      <c r="K63" s="103"/>
    </row>
    <row r="64" spans="1:11" x14ac:dyDescent="0.2">
      <c r="A64" s="96"/>
      <c r="B64" s="96"/>
      <c r="C64" s="98"/>
      <c r="D64" s="334"/>
      <c r="E64" s="96"/>
      <c r="F64" s="99"/>
      <c r="G64" s="134"/>
      <c r="H64" s="134"/>
      <c r="J64" s="99"/>
      <c r="K64" s="103"/>
    </row>
    <row r="65" spans="1:11" x14ac:dyDescent="0.2">
      <c r="A65" s="27" t="s">
        <v>486</v>
      </c>
      <c r="B65" s="99"/>
      <c r="C65" s="99"/>
      <c r="D65" s="99"/>
      <c r="E65" s="96"/>
      <c r="F65" s="96"/>
      <c r="G65" s="103"/>
      <c r="H65" s="103"/>
      <c r="I65" s="103"/>
      <c r="K65" s="103"/>
    </row>
    <row r="66" spans="1:11" x14ac:dyDescent="0.2">
      <c r="A66" s="34" t="s">
        <v>191</v>
      </c>
      <c r="B66" s="99"/>
      <c r="C66" s="99"/>
      <c r="D66" s="99"/>
      <c r="E66" s="96"/>
      <c r="F66" s="96"/>
      <c r="G66" s="103"/>
      <c r="H66" s="103"/>
      <c r="I66" s="103"/>
      <c r="K66" s="103"/>
    </row>
    <row r="67" spans="1:11" x14ac:dyDescent="0.2">
      <c r="A67" s="96" t="s">
        <v>470</v>
      </c>
      <c r="B67" s="99"/>
      <c r="C67" s="99"/>
      <c r="D67" s="99"/>
      <c r="E67" s="96"/>
      <c r="F67" s="96"/>
      <c r="G67" s="103"/>
      <c r="H67" s="103"/>
      <c r="I67" s="103"/>
      <c r="K67" s="103"/>
    </row>
    <row r="68" spans="1:11" x14ac:dyDescent="0.2">
      <c r="A68" s="96"/>
      <c r="B68" s="99"/>
      <c r="C68" s="99"/>
      <c r="D68" s="99"/>
      <c r="E68" s="96"/>
      <c r="F68" s="96"/>
      <c r="G68" s="103"/>
      <c r="H68" s="103"/>
      <c r="I68" s="103"/>
      <c r="J68" s="99"/>
      <c r="K68" s="103"/>
    </row>
    <row r="69" spans="1:11" x14ac:dyDescent="0.2">
      <c r="A69" s="96" t="s">
        <v>471</v>
      </c>
      <c r="B69" s="330">
        <v>8128.8</v>
      </c>
      <c r="C69" s="99" t="s">
        <v>472</v>
      </c>
      <c r="D69" s="99"/>
      <c r="E69" s="96"/>
      <c r="F69" s="96"/>
      <c r="G69" s="103"/>
      <c r="H69" s="103"/>
      <c r="I69" s="103"/>
      <c r="J69" s="99"/>
      <c r="K69" s="103"/>
    </row>
    <row r="70" spans="1:11" x14ac:dyDescent="0.2">
      <c r="A70" s="96"/>
      <c r="B70" s="330"/>
      <c r="C70" s="119" t="s">
        <v>259</v>
      </c>
      <c r="D70" s="119" t="s">
        <v>259</v>
      </c>
      <c r="E70" s="96"/>
      <c r="F70" s="119" t="s">
        <v>421</v>
      </c>
      <c r="J70" s="99"/>
      <c r="K70" s="103"/>
    </row>
    <row r="71" spans="1:11" x14ac:dyDescent="0.2">
      <c r="A71" s="96"/>
      <c r="B71" s="330"/>
      <c r="C71" s="119" t="s">
        <v>242</v>
      </c>
      <c r="D71" s="119" t="s">
        <v>242</v>
      </c>
      <c r="E71" s="96"/>
      <c r="F71" s="212">
        <f>(1+'21...Inflation Rate'!$G$56)^17-1</f>
        <v>0.48577772042074852</v>
      </c>
      <c r="G71" s="133" t="str">
        <f>G53</f>
        <v>17 Year Compounded Inflation</v>
      </c>
      <c r="H71" s="133"/>
      <c r="I71" s="99"/>
      <c r="J71" s="103"/>
      <c r="K71" s="103"/>
    </row>
    <row r="72" spans="1:11" x14ac:dyDescent="0.2">
      <c r="A72" s="96"/>
      <c r="B72" s="331" t="s">
        <v>473</v>
      </c>
      <c r="C72" s="332">
        <v>2001</v>
      </c>
      <c r="D72" s="332">
        <v>2018</v>
      </c>
      <c r="E72" s="96"/>
      <c r="F72" s="99"/>
      <c r="G72" s="123"/>
      <c r="H72" s="123"/>
      <c r="J72" s="103"/>
      <c r="K72" s="103"/>
    </row>
    <row r="73" spans="1:11" x14ac:dyDescent="0.2">
      <c r="A73" s="96" t="s">
        <v>594</v>
      </c>
      <c r="B73" s="99">
        <v>6</v>
      </c>
      <c r="C73" s="130">
        <f>B69*B73</f>
        <v>48772.800000000003</v>
      </c>
      <c r="D73" s="333">
        <f>C73*(1+$F$71)</f>
        <v>72465.539602537086</v>
      </c>
      <c r="E73" s="251"/>
      <c r="F73" s="99"/>
      <c r="G73" s="135"/>
      <c r="H73" s="135"/>
      <c r="J73" s="103"/>
      <c r="K73" s="103"/>
    </row>
    <row r="74" spans="1:11" x14ac:dyDescent="0.2">
      <c r="A74" s="96" t="s">
        <v>595</v>
      </c>
      <c r="B74" s="96">
        <v>3</v>
      </c>
      <c r="C74" s="130">
        <f>B69*B74</f>
        <v>24386.400000000001</v>
      </c>
      <c r="D74" s="333">
        <f>C74*(1+$F$71)</f>
        <v>36232.769801268543</v>
      </c>
      <c r="E74" s="251"/>
      <c r="F74" s="99"/>
      <c r="G74" s="135"/>
      <c r="H74" s="135"/>
      <c r="J74" s="103"/>
      <c r="K74" s="103"/>
    </row>
    <row r="75" spans="1:11" x14ac:dyDescent="0.2">
      <c r="A75" s="96" t="s">
        <v>968</v>
      </c>
      <c r="B75" s="96">
        <v>1</v>
      </c>
      <c r="C75" s="130">
        <f>B69*B75</f>
        <v>8128.8</v>
      </c>
      <c r="D75" s="333">
        <f>C75*(1+$F$71)</f>
        <v>12077.58993375618</v>
      </c>
      <c r="E75" s="251"/>
      <c r="F75" s="99"/>
      <c r="G75" s="136"/>
      <c r="H75" s="136"/>
      <c r="I75" s="99"/>
      <c r="J75" s="103"/>
      <c r="K75" s="103"/>
    </row>
    <row r="76" spans="1:11" x14ac:dyDescent="0.2">
      <c r="A76" s="96"/>
      <c r="B76" s="96"/>
      <c r="C76" s="333"/>
      <c r="D76" s="333"/>
      <c r="E76" s="96"/>
      <c r="F76" s="99"/>
      <c r="G76" s="136"/>
      <c r="H76" s="136"/>
      <c r="I76" s="99"/>
      <c r="K76" s="103"/>
    </row>
    <row r="77" spans="1:11" x14ac:dyDescent="0.2">
      <c r="A77" s="27" t="s">
        <v>943</v>
      </c>
    </row>
    <row r="78" spans="1:11" x14ac:dyDescent="0.2">
      <c r="A78" s="34" t="s">
        <v>191</v>
      </c>
    </row>
    <row r="79" spans="1:11" x14ac:dyDescent="0.2">
      <c r="A79" s="96" t="s">
        <v>944</v>
      </c>
    </row>
    <row r="81" spans="1:12" x14ac:dyDescent="0.2">
      <c r="B81" s="115" t="s">
        <v>259</v>
      </c>
    </row>
    <row r="82" spans="1:12" x14ac:dyDescent="0.2">
      <c r="B82" s="115" t="s">
        <v>242</v>
      </c>
    </row>
    <row r="83" spans="1:12" x14ac:dyDescent="0.2">
      <c r="A83" s="400" t="s">
        <v>943</v>
      </c>
      <c r="B83" s="401">
        <v>2018</v>
      </c>
      <c r="C83" s="403" t="s">
        <v>237</v>
      </c>
      <c r="D83" s="400"/>
      <c r="E83" s="400"/>
      <c r="F83" s="400"/>
      <c r="G83" s="400"/>
      <c r="H83" s="400"/>
      <c r="I83" s="400"/>
    </row>
    <row r="84" spans="1:12" ht="30" customHeight="1" x14ac:dyDescent="0.2">
      <c r="A84" s="105" t="s">
        <v>945</v>
      </c>
      <c r="B84" s="130">
        <v>100000</v>
      </c>
      <c r="C84" s="440" t="s">
        <v>946</v>
      </c>
      <c r="D84" s="440"/>
      <c r="E84" s="440"/>
      <c r="F84" s="440"/>
      <c r="G84" s="440"/>
      <c r="H84" s="440"/>
      <c r="I84" s="440"/>
    </row>
    <row r="85" spans="1:12" x14ac:dyDescent="0.2">
      <c r="A85" s="105" t="s">
        <v>947</v>
      </c>
      <c r="B85" s="130">
        <v>10000</v>
      </c>
      <c r="C85" s="440" t="s">
        <v>948</v>
      </c>
      <c r="D85" s="440"/>
      <c r="E85" s="440"/>
      <c r="F85" s="440"/>
      <c r="G85" s="440"/>
      <c r="H85" s="440"/>
      <c r="I85" s="440"/>
    </row>
    <row r="86" spans="1:12" ht="45" customHeight="1" x14ac:dyDescent="0.2">
      <c r="A86" s="105" t="s">
        <v>949</v>
      </c>
      <c r="B86" s="130">
        <v>50000</v>
      </c>
      <c r="C86" s="441" t="s">
        <v>975</v>
      </c>
      <c r="D86" s="441"/>
      <c r="E86" s="441"/>
      <c r="F86" s="441"/>
      <c r="G86" s="441"/>
      <c r="H86" s="441"/>
      <c r="I86" s="441"/>
    </row>
    <row r="87" spans="1:12" x14ac:dyDescent="0.2">
      <c r="A87" s="105" t="s">
        <v>950</v>
      </c>
      <c r="B87" s="130">
        <v>30000</v>
      </c>
      <c r="C87" s="441" t="s">
        <v>958</v>
      </c>
      <c r="D87" s="441"/>
      <c r="E87" s="441"/>
      <c r="F87" s="441"/>
      <c r="G87" s="441"/>
      <c r="H87" s="441"/>
      <c r="I87" s="441"/>
    </row>
    <row r="88" spans="1:12" ht="60" customHeight="1" x14ac:dyDescent="0.2">
      <c r="A88" s="105" t="s">
        <v>951</v>
      </c>
      <c r="B88" s="130">
        <v>250000</v>
      </c>
      <c r="C88" s="441" t="s">
        <v>976</v>
      </c>
      <c r="D88" s="441"/>
      <c r="E88" s="441"/>
      <c r="F88" s="441"/>
      <c r="G88" s="441"/>
      <c r="H88" s="441"/>
      <c r="I88" s="441"/>
    </row>
    <row r="89" spans="1:12" x14ac:dyDescent="0.2">
      <c r="A89" s="105" t="s">
        <v>952</v>
      </c>
      <c r="B89" s="130">
        <v>50000</v>
      </c>
      <c r="C89" s="440" t="s">
        <v>959</v>
      </c>
      <c r="D89" s="440"/>
      <c r="E89" s="440"/>
      <c r="F89" s="440"/>
      <c r="G89" s="440"/>
      <c r="H89" s="440"/>
      <c r="I89" s="440"/>
    </row>
    <row r="90" spans="1:12" x14ac:dyDescent="0.2">
      <c r="A90" s="105" t="s">
        <v>953</v>
      </c>
      <c r="B90" s="130">
        <v>60000</v>
      </c>
      <c r="C90" s="440" t="s">
        <v>959</v>
      </c>
      <c r="D90" s="440"/>
      <c r="E90" s="440"/>
      <c r="F90" s="440"/>
      <c r="G90" s="440"/>
      <c r="H90" s="440"/>
      <c r="I90" s="440"/>
    </row>
    <row r="91" spans="1:12" x14ac:dyDescent="0.2">
      <c r="A91" s="105" t="s">
        <v>954</v>
      </c>
      <c r="B91" s="130">
        <v>20000</v>
      </c>
      <c r="C91" s="440" t="s">
        <v>960</v>
      </c>
      <c r="D91" s="440"/>
      <c r="E91" s="440"/>
      <c r="F91" s="440"/>
      <c r="G91" s="440"/>
      <c r="H91" s="440"/>
      <c r="I91" s="440"/>
    </row>
    <row r="92" spans="1:12" x14ac:dyDescent="0.2">
      <c r="A92" s="105" t="s">
        <v>955</v>
      </c>
      <c r="B92" s="130">
        <v>50000</v>
      </c>
      <c r="C92" s="440" t="s">
        <v>958</v>
      </c>
      <c r="D92" s="440"/>
      <c r="E92" s="440"/>
      <c r="F92" s="440"/>
      <c r="G92" s="440"/>
      <c r="H92" s="440"/>
      <c r="I92" s="440"/>
      <c r="L92" s="99"/>
    </row>
    <row r="93" spans="1:12" x14ac:dyDescent="0.2">
      <c r="A93" s="105" t="s">
        <v>956</v>
      </c>
      <c r="B93" s="130">
        <v>20000</v>
      </c>
      <c r="C93" s="440" t="s">
        <v>960</v>
      </c>
      <c r="D93" s="440"/>
      <c r="E93" s="440"/>
      <c r="F93" s="440"/>
      <c r="G93" s="440"/>
      <c r="H93" s="440"/>
      <c r="I93" s="440"/>
    </row>
    <row r="94" spans="1:12" x14ac:dyDescent="0.2">
      <c r="A94" s="105" t="s">
        <v>957</v>
      </c>
      <c r="B94" s="402">
        <v>5000</v>
      </c>
      <c r="C94" s="440" t="s">
        <v>961</v>
      </c>
      <c r="D94" s="440"/>
      <c r="E94" s="440"/>
      <c r="F94" s="440"/>
      <c r="G94" s="440"/>
      <c r="H94" s="440"/>
      <c r="I94" s="440"/>
    </row>
    <row r="95" spans="1:12" x14ac:dyDescent="0.2">
      <c r="A95" s="68" t="s">
        <v>534</v>
      </c>
      <c r="B95" s="250">
        <f>0.1*SUM(B84:B94)</f>
        <v>64500</v>
      </c>
    </row>
    <row r="96" spans="1:12" x14ac:dyDescent="0.2">
      <c r="A96" s="68" t="s">
        <v>302</v>
      </c>
      <c r="B96" s="250">
        <f>SUM(B84:B95)</f>
        <v>709500</v>
      </c>
    </row>
    <row r="97" spans="1:9" x14ac:dyDescent="0.2">
      <c r="B97" s="130"/>
    </row>
    <row r="98" spans="1:9" x14ac:dyDescent="0.2">
      <c r="B98" s="130"/>
    </row>
    <row r="99" spans="1:9" x14ac:dyDescent="0.2">
      <c r="A99" s="400" t="s">
        <v>978</v>
      </c>
      <c r="B99" s="402"/>
      <c r="C99" s="400"/>
      <c r="D99" s="400"/>
      <c r="E99" s="400"/>
      <c r="F99" s="400"/>
      <c r="G99" s="400"/>
      <c r="H99" s="400"/>
      <c r="I99" s="400"/>
    </row>
    <row r="100" spans="1:9" ht="15.75" x14ac:dyDescent="0.25">
      <c r="A100" s="407" t="s">
        <v>979</v>
      </c>
      <c r="B100" s="136">
        <v>210000</v>
      </c>
      <c r="C100" s="105" t="s">
        <v>981</v>
      </c>
    </row>
    <row r="101" spans="1:9" x14ac:dyDescent="0.2">
      <c r="A101" s="105" t="s">
        <v>256</v>
      </c>
      <c r="B101" s="136">
        <f>B110</f>
        <v>15197.772432442051</v>
      </c>
    </row>
    <row r="102" spans="1:9" ht="15.75" x14ac:dyDescent="0.25">
      <c r="A102" s="407" t="s">
        <v>780</v>
      </c>
      <c r="B102" s="136">
        <f>B100+B101</f>
        <v>225197.77243244206</v>
      </c>
      <c r="C102" s="105" t="s">
        <v>982</v>
      </c>
    </row>
    <row r="103" spans="1:9" x14ac:dyDescent="0.2">
      <c r="B103" s="130"/>
    </row>
    <row r="104" spans="1:9" x14ac:dyDescent="0.2">
      <c r="A104" s="115" t="s">
        <v>421</v>
      </c>
      <c r="B104" s="132">
        <f>'21...Inflation Rate'!G56</f>
        <v>2.3563832784155192E-2</v>
      </c>
      <c r="C104" s="133" t="s">
        <v>257</v>
      </c>
      <c r="D104" s="99"/>
    </row>
    <row r="105" spans="1:9" x14ac:dyDescent="0.2">
      <c r="A105" s="99"/>
      <c r="B105" s="213" t="s">
        <v>259</v>
      </c>
      <c r="C105" s="99"/>
      <c r="D105" s="99"/>
    </row>
    <row r="106" spans="1:9" x14ac:dyDescent="0.2">
      <c r="B106" s="213" t="s">
        <v>260</v>
      </c>
      <c r="C106" s="99"/>
      <c r="D106" s="99"/>
    </row>
    <row r="107" spans="1:9" x14ac:dyDescent="0.2">
      <c r="A107" s="99">
        <v>2016</v>
      </c>
      <c r="B107" s="136">
        <f>B100*B104</f>
        <v>4948.40488467259</v>
      </c>
      <c r="C107" s="99"/>
      <c r="D107" s="99"/>
    </row>
    <row r="108" spans="1:9" x14ac:dyDescent="0.2">
      <c r="A108" s="105">
        <v>2017</v>
      </c>
      <c r="B108" s="136">
        <f>SUM($B$100,B107)*$B$104</f>
        <v>5065.0082699233117</v>
      </c>
      <c r="C108" s="99"/>
      <c r="D108" s="99"/>
    </row>
    <row r="109" spans="1:9" ht="15.75" thickBot="1" x14ac:dyDescent="0.25">
      <c r="A109" s="99">
        <v>2018</v>
      </c>
      <c r="B109" s="136">
        <f>SUM($B$100,B107:B108)*$B$104</f>
        <v>5184.359277846148</v>
      </c>
      <c r="C109" s="99"/>
      <c r="D109" s="99"/>
    </row>
    <row r="110" spans="1:9" ht="15.75" thickTop="1" x14ac:dyDescent="0.2">
      <c r="B110" s="137">
        <f>SUM(B107:B109)</f>
        <v>15197.772432442051</v>
      </c>
      <c r="C110" s="45" t="s">
        <v>980</v>
      </c>
      <c r="D110" s="99"/>
    </row>
    <row r="112" spans="1:9" x14ac:dyDescent="0.2">
      <c r="A112" s="400" t="s">
        <v>991</v>
      </c>
      <c r="B112" s="402"/>
    </row>
    <row r="113" spans="1:3" ht="15.75" x14ac:dyDescent="0.25">
      <c r="A113" s="407" t="s">
        <v>780</v>
      </c>
      <c r="B113" s="136">
        <v>973544</v>
      </c>
      <c r="C113" s="105" t="s">
        <v>992</v>
      </c>
    </row>
  </sheetData>
  <mergeCells count="11">
    <mergeCell ref="C89:I89"/>
    <mergeCell ref="C84:I84"/>
    <mergeCell ref="C85:I85"/>
    <mergeCell ref="C86:I86"/>
    <mergeCell ref="C87:I87"/>
    <mergeCell ref="C88:I88"/>
    <mergeCell ref="C90:I90"/>
    <mergeCell ref="C91:I91"/>
    <mergeCell ref="C92:I92"/>
    <mergeCell ref="C93:I93"/>
    <mergeCell ref="C94:I94"/>
  </mergeCells>
  <printOptions horizontalCentered="1"/>
  <pageMargins left="0.35" right="0.3" top="0.66" bottom="0.72" header="0.5" footer="0.5"/>
  <pageSetup scale="54" fitToHeight="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L116"/>
  <sheetViews>
    <sheetView workbookViewId="0"/>
  </sheetViews>
  <sheetFormatPr defaultColWidth="12.5703125" defaultRowHeight="15.75" x14ac:dyDescent="0.25"/>
  <cols>
    <col min="1" max="1" width="36.85546875" style="159" customWidth="1"/>
    <col min="2" max="2" width="73.28515625" style="159" customWidth="1"/>
    <col min="3" max="3" width="11.5703125" style="159" customWidth="1"/>
    <col min="4" max="4" width="19" style="159" customWidth="1"/>
    <col min="5" max="16384" width="12.5703125" style="159"/>
  </cols>
  <sheetData>
    <row r="1" spans="1:12" ht="14.1" customHeight="1" x14ac:dyDescent="0.25">
      <c r="A1" s="55" t="str">
        <f>General!A1</f>
        <v>FINANCIAL ASSURANCE AMOUNT CALCULATION</v>
      </c>
      <c r="B1" s="55"/>
      <c r="C1" s="160"/>
      <c r="D1" s="67" t="str">
        <f>General!D1</f>
        <v>Questa Mine Site</v>
      </c>
      <c r="F1" s="335"/>
      <c r="G1" s="383"/>
      <c r="H1" s="383"/>
      <c r="I1" s="383"/>
      <c r="J1" s="383"/>
    </row>
    <row r="2" spans="1:12" ht="14.1" customHeight="1" x14ac:dyDescent="0.25">
      <c r="A2" s="55" t="str">
        <f>General!A2</f>
        <v>Chevron Mining Inc.</v>
      </c>
      <c r="B2" s="55"/>
      <c r="C2" s="55"/>
      <c r="D2" s="67" t="s">
        <v>487</v>
      </c>
      <c r="F2" s="383"/>
      <c r="G2" s="383"/>
      <c r="H2" s="383"/>
      <c r="I2" s="383"/>
      <c r="J2" s="383"/>
    </row>
    <row r="3" spans="1:12" ht="14.1" customHeight="1" x14ac:dyDescent="0.25">
      <c r="A3" s="72" t="s">
        <v>488</v>
      </c>
      <c r="B3" s="55"/>
      <c r="C3" s="55"/>
      <c r="D3" s="161">
        <f>General!$D$2</f>
        <v>37256</v>
      </c>
      <c r="F3" s="383"/>
      <c r="G3" s="383"/>
      <c r="H3" s="383"/>
      <c r="I3" s="383"/>
      <c r="J3" s="383"/>
    </row>
    <row r="4" spans="1:12" ht="14.1" customHeight="1" x14ac:dyDescent="0.25">
      <c r="A4" s="72"/>
      <c r="B4" s="55"/>
      <c r="C4" s="67" t="str">
        <f>General!C3</f>
        <v>Updated by Kiewit/AECOM</v>
      </c>
      <c r="D4" s="161">
        <f>General!D3</f>
        <v>43419</v>
      </c>
      <c r="F4" s="383"/>
      <c r="G4" s="383"/>
      <c r="H4" s="383"/>
      <c r="I4" s="383"/>
      <c r="J4" s="383"/>
      <c r="K4" s="383"/>
      <c r="L4" s="383"/>
    </row>
    <row r="5" spans="1:12" ht="14.1" customHeight="1" x14ac:dyDescent="0.25">
      <c r="A5" s="160"/>
      <c r="B5" s="55"/>
      <c r="C5" s="55"/>
      <c r="D5" s="73"/>
      <c r="F5" s="383"/>
      <c r="G5" s="383"/>
      <c r="H5" s="383"/>
      <c r="I5" s="383"/>
      <c r="J5" s="383"/>
      <c r="K5" s="383"/>
      <c r="L5" s="383"/>
    </row>
    <row r="6" spans="1:12" ht="14.1" customHeight="1" x14ac:dyDescent="0.25">
      <c r="A6" s="74" t="s">
        <v>489</v>
      </c>
      <c r="B6" s="55"/>
      <c r="C6" s="55"/>
      <c r="D6" s="73"/>
      <c r="F6" s="383"/>
      <c r="G6" s="383"/>
      <c r="H6" s="383"/>
      <c r="I6" s="383"/>
      <c r="J6" s="383"/>
      <c r="K6" s="383"/>
      <c r="L6" s="383"/>
    </row>
    <row r="7" spans="1:12" ht="15.95" customHeight="1" x14ac:dyDescent="0.25">
      <c r="A7" s="81" t="s">
        <v>490</v>
      </c>
      <c r="B7" s="10"/>
      <c r="C7" s="10"/>
      <c r="D7" s="36"/>
      <c r="F7" s="383"/>
      <c r="G7" s="383"/>
      <c r="H7" s="383"/>
      <c r="I7" s="383"/>
      <c r="J7" s="383"/>
      <c r="K7" s="383"/>
      <c r="L7" s="383"/>
    </row>
    <row r="8" spans="1:12" ht="15" customHeight="1" x14ac:dyDescent="0.25">
      <c r="A8" s="75" t="s">
        <v>491</v>
      </c>
      <c r="B8" s="10" t="s">
        <v>231</v>
      </c>
      <c r="C8" s="10"/>
      <c r="D8" s="76">
        <v>0</v>
      </c>
      <c r="F8" s="383"/>
      <c r="G8" s="383"/>
      <c r="H8" s="383"/>
      <c r="I8" s="383"/>
      <c r="J8" s="383"/>
      <c r="K8" s="383"/>
      <c r="L8" s="383"/>
    </row>
    <row r="9" spans="1:12" ht="15" customHeight="1" x14ac:dyDescent="0.25">
      <c r="A9" s="10"/>
      <c r="B9" s="10" t="s">
        <v>26</v>
      </c>
      <c r="C9" s="10"/>
      <c r="D9" s="60">
        <f>'13...EarthSum'!I160</f>
        <v>217126918.64409465</v>
      </c>
      <c r="F9" s="383"/>
      <c r="G9" s="383"/>
      <c r="H9" s="383"/>
      <c r="I9" s="383"/>
      <c r="J9" s="383"/>
      <c r="K9" s="383"/>
      <c r="L9" s="383"/>
    </row>
    <row r="10" spans="1:12" ht="15" customHeight="1" x14ac:dyDescent="0.25">
      <c r="A10" s="10"/>
      <c r="B10" s="10" t="s">
        <v>492</v>
      </c>
      <c r="C10" s="37"/>
      <c r="D10" s="60">
        <f>'14...Reveg'!$E$24</f>
        <v>438580.1119443152</v>
      </c>
      <c r="F10" s="383"/>
      <c r="G10" s="383"/>
      <c r="H10" s="383"/>
      <c r="I10" s="383"/>
      <c r="J10" s="383"/>
      <c r="K10" s="383"/>
      <c r="L10" s="383"/>
    </row>
    <row r="11" spans="1:12" ht="15" customHeight="1" x14ac:dyDescent="0.25">
      <c r="B11" s="77" t="s">
        <v>604</v>
      </c>
      <c r="C11" s="55"/>
      <c r="D11" s="60">
        <f>'16...Water Treatment'!E19</f>
        <v>5927253.3021961115</v>
      </c>
      <c r="F11" s="383"/>
      <c r="G11" s="383"/>
      <c r="H11" s="383"/>
      <c r="I11" s="383"/>
      <c r="J11" s="383"/>
      <c r="K11" s="383"/>
      <c r="L11" s="383"/>
    </row>
    <row r="12" spans="1:12" ht="15" customHeight="1" x14ac:dyDescent="0.25">
      <c r="A12" s="10"/>
      <c r="B12" s="10" t="s">
        <v>988</v>
      </c>
      <c r="C12" s="10"/>
      <c r="D12" s="78">
        <f>'17...Other'!F19+'17...Other'!F28+'17...Other'!F73+'17...Other'!F80+'17...Other'!F98+'17...Other'!F131+'17...Other'!F137+'17...Other'!F142</f>
        <v>101174081.89046548</v>
      </c>
      <c r="F12" s="383"/>
      <c r="G12" s="383"/>
      <c r="H12" s="383"/>
      <c r="I12" s="383"/>
      <c r="J12" s="383"/>
      <c r="K12" s="383"/>
      <c r="L12" s="383"/>
    </row>
    <row r="13" spans="1:12" ht="15" customHeight="1" x14ac:dyDescent="0.25">
      <c r="A13" s="162"/>
      <c r="B13" s="13"/>
      <c r="C13" s="70" t="s">
        <v>493</v>
      </c>
      <c r="D13" s="43">
        <f>SUM(D8:D12)</f>
        <v>324666833.94870055</v>
      </c>
    </row>
    <row r="14" spans="1:12" ht="15" customHeight="1" x14ac:dyDescent="0.25">
      <c r="A14" s="162"/>
      <c r="B14" s="13"/>
      <c r="C14" s="70"/>
      <c r="D14" s="43"/>
    </row>
    <row r="15" spans="1:12" ht="15" customHeight="1" x14ac:dyDescent="0.25">
      <c r="A15" s="10"/>
      <c r="B15" s="10"/>
      <c r="C15" s="10"/>
      <c r="D15" s="10"/>
    </row>
    <row r="16" spans="1:12" ht="15" customHeight="1" x14ac:dyDescent="0.25">
      <c r="A16" s="75" t="s">
        <v>494</v>
      </c>
      <c r="B16" s="10" t="s">
        <v>840</v>
      </c>
      <c r="C16" s="37">
        <v>0.02</v>
      </c>
      <c r="D16" s="60">
        <f t="shared" ref="D16:D21" si="0">C16*$D$13</f>
        <v>6493336.678974011</v>
      </c>
    </row>
    <row r="17" spans="1:9" ht="15" customHeight="1" x14ac:dyDescent="0.25">
      <c r="A17" s="10"/>
      <c r="B17" s="10" t="s">
        <v>81</v>
      </c>
      <c r="C17" s="37">
        <v>0.04</v>
      </c>
      <c r="D17" s="60">
        <f t="shared" si="0"/>
        <v>12986673.357948022</v>
      </c>
    </row>
    <row r="18" spans="1:9" ht="15" customHeight="1" x14ac:dyDescent="0.25">
      <c r="A18" s="10"/>
      <c r="B18" s="10" t="s">
        <v>82</v>
      </c>
      <c r="C18" s="37">
        <v>0.02</v>
      </c>
      <c r="D18" s="60">
        <f t="shared" si="0"/>
        <v>6493336.678974011</v>
      </c>
    </row>
    <row r="19" spans="1:9" ht="15" customHeight="1" x14ac:dyDescent="0.25">
      <c r="A19" s="10"/>
      <c r="B19" s="10" t="s">
        <v>83</v>
      </c>
      <c r="C19" s="37">
        <v>0.15</v>
      </c>
      <c r="D19" s="60">
        <f t="shared" si="0"/>
        <v>48700025.092305079</v>
      </c>
    </row>
    <row r="20" spans="1:9" ht="15" customHeight="1" x14ac:dyDescent="0.25">
      <c r="A20" s="10"/>
      <c r="B20" s="10" t="s">
        <v>84</v>
      </c>
      <c r="C20" s="37">
        <v>0.03</v>
      </c>
      <c r="D20" s="60">
        <f t="shared" si="0"/>
        <v>9740005.0184610169</v>
      </c>
    </row>
    <row r="21" spans="1:9" ht="15" customHeight="1" x14ac:dyDescent="0.25">
      <c r="A21" s="10"/>
      <c r="B21" s="10" t="s">
        <v>495</v>
      </c>
      <c r="C21" s="37">
        <v>0.02</v>
      </c>
      <c r="D21" s="60">
        <f t="shared" si="0"/>
        <v>6493336.678974011</v>
      </c>
      <c r="E21" s="383"/>
      <c r="F21" s="383"/>
      <c r="G21" s="383"/>
      <c r="H21" s="383"/>
      <c r="I21" s="383"/>
    </row>
    <row r="22" spans="1:9" ht="15" customHeight="1" x14ac:dyDescent="0.25">
      <c r="A22" s="162"/>
      <c r="B22" s="36" t="s">
        <v>496</v>
      </c>
      <c r="C22" s="79">
        <f>SUM(C16:C21)</f>
        <v>0.28000000000000003</v>
      </c>
      <c r="D22" s="10"/>
    </row>
    <row r="23" spans="1:9" ht="15" customHeight="1" x14ac:dyDescent="0.25">
      <c r="A23" s="162"/>
      <c r="B23" s="13"/>
      <c r="C23" s="70" t="s">
        <v>497</v>
      </c>
      <c r="D23" s="80">
        <f>SUM(D16:D21)</f>
        <v>90906713.505636156</v>
      </c>
    </row>
    <row r="24" spans="1:9" ht="15" customHeight="1" x14ac:dyDescent="0.25">
      <c r="A24" s="162"/>
      <c r="B24" s="70"/>
      <c r="C24" s="10"/>
      <c r="D24" s="43"/>
    </row>
    <row r="25" spans="1:9" ht="15" customHeight="1" x14ac:dyDescent="0.25">
      <c r="A25" s="19"/>
      <c r="B25" s="10"/>
      <c r="C25" s="69" t="s">
        <v>498</v>
      </c>
      <c r="D25" s="43">
        <f>D13+D23</f>
        <v>415573547.4543367</v>
      </c>
    </row>
    <row r="26" spans="1:9" ht="15" customHeight="1" x14ac:dyDescent="0.25">
      <c r="A26" s="19"/>
      <c r="B26" s="10"/>
      <c r="C26" s="69"/>
      <c r="D26" s="43"/>
    </row>
    <row r="27" spans="1:9" ht="15" customHeight="1" x14ac:dyDescent="0.25">
      <c r="A27" s="75" t="s">
        <v>499</v>
      </c>
      <c r="B27" s="81"/>
      <c r="C27" s="10"/>
      <c r="D27" s="10"/>
    </row>
    <row r="28" spans="1:9" ht="15" customHeight="1" x14ac:dyDescent="0.25">
      <c r="A28" s="10" t="s">
        <v>500</v>
      </c>
      <c r="B28" s="10" t="s">
        <v>967</v>
      </c>
      <c r="C28" s="10"/>
      <c r="D28" s="60">
        <f>('14...Reveg'!$C$41+'14...Reveg'!$D$41)</f>
        <v>1052592.2686663566</v>
      </c>
    </row>
    <row r="29" spans="1:9" ht="15" customHeight="1" x14ac:dyDescent="0.25">
      <c r="A29" s="77" t="s">
        <v>481</v>
      </c>
      <c r="B29" s="55" t="s">
        <v>969</v>
      </c>
      <c r="C29" s="55"/>
      <c r="D29" s="60">
        <f>(33*'18...O&amp;M'!$D$55+10*'18...O&amp;M'!$D$56+6*'18...O&amp;M'!$D$57)</f>
        <v>7276507.2390973903</v>
      </c>
    </row>
    <row r="30" spans="1:9" ht="15" customHeight="1" x14ac:dyDescent="0.25">
      <c r="A30" s="77" t="s">
        <v>486</v>
      </c>
      <c r="B30" s="55" t="s">
        <v>969</v>
      </c>
      <c r="C30" s="55"/>
      <c r="D30" s="60">
        <f>(33*'18...O&amp;M'!$D$73+10*'18...O&amp;M'!$D$74+6*'18...O&amp;M'!$D$75)</f>
        <v>2826156.0444989465</v>
      </c>
    </row>
    <row r="31" spans="1:9" ht="15" customHeight="1" x14ac:dyDescent="0.25">
      <c r="A31" s="77" t="s">
        <v>501</v>
      </c>
      <c r="B31" s="55" t="s">
        <v>970</v>
      </c>
      <c r="C31" s="55"/>
      <c r="D31" s="60">
        <f>'18...O&amp;M'!$C$23*47</f>
        <v>2262542.312656715</v>
      </c>
    </row>
    <row r="32" spans="1:9" ht="15" customHeight="1" x14ac:dyDescent="0.25">
      <c r="A32" s="77" t="s">
        <v>943</v>
      </c>
      <c r="B32" s="55" t="s">
        <v>970</v>
      </c>
      <c r="C32" s="55"/>
      <c r="D32" s="60">
        <f>'18...O&amp;M'!$B$96*47+2*'18...O&amp;M'!$B$102+'18...O&amp;M'!$B$113</f>
        <v>34770439.544864886</v>
      </c>
    </row>
    <row r="33" spans="1:4" ht="15" customHeight="1" x14ac:dyDescent="0.25">
      <c r="A33" s="216"/>
      <c r="B33" s="55"/>
      <c r="C33" s="69" t="s">
        <v>502</v>
      </c>
      <c r="D33" s="88">
        <f>SUM(D28:D32)</f>
        <v>48188237.409784295</v>
      </c>
    </row>
    <row r="34" spans="1:4" ht="15" customHeight="1" x14ac:dyDescent="0.25">
      <c r="A34" s="216"/>
      <c r="B34" s="55"/>
      <c r="C34" s="69"/>
      <c r="D34" s="88"/>
    </row>
    <row r="35" spans="1:4" ht="15" customHeight="1" x14ac:dyDescent="0.25">
      <c r="A35" s="216"/>
      <c r="B35" s="55"/>
      <c r="C35" s="69"/>
      <c r="D35" s="88"/>
    </row>
    <row r="36" spans="1:4" ht="15" customHeight="1" x14ac:dyDescent="0.25">
      <c r="A36" s="77"/>
      <c r="B36" s="55"/>
      <c r="C36" s="13"/>
      <c r="D36" s="89"/>
    </row>
    <row r="37" spans="1:4" s="13" customFormat="1" ht="15" customHeight="1" x14ac:dyDescent="0.25">
      <c r="B37" s="69"/>
      <c r="C37" s="69" t="s">
        <v>503</v>
      </c>
      <c r="D37" s="43">
        <f>D25+D33</f>
        <v>463761784.86412102</v>
      </c>
    </row>
    <row r="38" spans="1:4" s="13" customFormat="1" ht="15" customHeight="1" x14ac:dyDescent="0.25">
      <c r="B38" s="69"/>
      <c r="C38" s="69"/>
      <c r="D38" s="43"/>
    </row>
    <row r="39" spans="1:4" s="13" customFormat="1" ht="15" customHeight="1" x14ac:dyDescent="0.25">
      <c r="B39" s="69"/>
      <c r="C39" s="69" t="s">
        <v>504</v>
      </c>
      <c r="D39" s="43">
        <f>'20...NPV - CMI_2014'!$F$3</f>
        <v>310270350.39385974</v>
      </c>
    </row>
    <row r="40" spans="1:4" ht="15" customHeight="1" x14ac:dyDescent="0.25">
      <c r="A40" s="77"/>
      <c r="B40" s="55"/>
      <c r="C40" s="55"/>
      <c r="D40" s="43"/>
    </row>
    <row r="41" spans="1:4" x14ac:dyDescent="0.25">
      <c r="A41" s="13"/>
      <c r="B41" s="13"/>
      <c r="C41" s="13"/>
      <c r="D41" s="13"/>
    </row>
    <row r="42" spans="1:4" x14ac:dyDescent="0.25">
      <c r="A42" s="13"/>
      <c r="B42" s="13"/>
      <c r="C42" s="13"/>
      <c r="D42" s="13"/>
    </row>
    <row r="43" spans="1:4" x14ac:dyDescent="0.25">
      <c r="A43" s="13"/>
      <c r="B43" s="13"/>
      <c r="C43" s="13"/>
      <c r="D43" s="13"/>
    </row>
    <row r="44" spans="1:4" x14ac:dyDescent="0.25">
      <c r="A44" s="13"/>
      <c r="B44" s="13"/>
      <c r="C44" s="13"/>
      <c r="D44" s="13"/>
    </row>
    <row r="45" spans="1:4" x14ac:dyDescent="0.25">
      <c r="A45" s="13"/>
      <c r="B45" s="13"/>
      <c r="C45" s="13"/>
      <c r="D45" s="13"/>
    </row>
    <row r="46" spans="1:4" x14ac:dyDescent="0.25">
      <c r="A46" s="13"/>
      <c r="B46" s="13"/>
      <c r="C46" s="13"/>
      <c r="D46" s="13"/>
    </row>
    <row r="47" spans="1:4" x14ac:dyDescent="0.25">
      <c r="A47" s="13"/>
      <c r="B47" s="13"/>
      <c r="C47" s="13"/>
      <c r="D47" s="13"/>
    </row>
    <row r="48" spans="1:4" x14ac:dyDescent="0.25">
      <c r="A48" s="13"/>
      <c r="B48" s="13"/>
      <c r="C48" s="13"/>
      <c r="D48" s="13"/>
    </row>
    <row r="49" spans="1:4" x14ac:dyDescent="0.25">
      <c r="A49" s="13"/>
      <c r="B49" s="13"/>
      <c r="C49" s="13"/>
      <c r="D49" s="13"/>
    </row>
    <row r="50" spans="1:4" x14ac:dyDescent="0.25">
      <c r="A50" s="13"/>
      <c r="B50" s="13"/>
      <c r="C50" s="13"/>
      <c r="D50" s="13"/>
    </row>
    <row r="51" spans="1:4" x14ac:dyDescent="0.25">
      <c r="A51" s="13"/>
      <c r="B51" s="13"/>
      <c r="C51" s="13"/>
      <c r="D51" s="13"/>
    </row>
    <row r="52" spans="1:4" x14ac:dyDescent="0.25">
      <c r="A52" s="13"/>
      <c r="B52" s="13"/>
      <c r="C52" s="13"/>
      <c r="D52" s="13"/>
    </row>
    <row r="53" spans="1:4" x14ac:dyDescent="0.25">
      <c r="A53" s="13"/>
      <c r="B53" s="13"/>
      <c r="C53" s="13"/>
      <c r="D53" s="13"/>
    </row>
    <row r="54" spans="1:4" x14ac:dyDescent="0.25">
      <c r="A54" s="13"/>
      <c r="B54" s="13"/>
      <c r="C54" s="13"/>
      <c r="D54" s="13"/>
    </row>
    <row r="55" spans="1:4" x14ac:dyDescent="0.25">
      <c r="A55" s="13"/>
      <c r="B55" s="13"/>
      <c r="C55" s="13"/>
      <c r="D55" s="13"/>
    </row>
    <row r="56" spans="1:4" x14ac:dyDescent="0.25">
      <c r="A56" s="13"/>
      <c r="B56" s="13"/>
      <c r="C56" s="13"/>
      <c r="D56" s="13"/>
    </row>
    <row r="57" spans="1:4" x14ac:dyDescent="0.25">
      <c r="A57" s="13"/>
      <c r="B57" s="13"/>
      <c r="C57" s="13"/>
      <c r="D57" s="13"/>
    </row>
    <row r="58" spans="1:4" x14ac:dyDescent="0.25">
      <c r="A58" s="13"/>
      <c r="B58" s="13"/>
      <c r="C58" s="13"/>
      <c r="D58" s="13"/>
    </row>
    <row r="59" spans="1:4" x14ac:dyDescent="0.25">
      <c r="A59" s="13"/>
      <c r="B59" s="13"/>
      <c r="C59" s="13"/>
      <c r="D59" s="13"/>
    </row>
    <row r="60" spans="1:4" x14ac:dyDescent="0.25">
      <c r="A60" s="13"/>
      <c r="B60" s="13"/>
      <c r="C60" s="13"/>
      <c r="D60" s="13"/>
    </row>
    <row r="61" spans="1:4" x14ac:dyDescent="0.25">
      <c r="A61" s="13"/>
      <c r="B61" s="13"/>
      <c r="C61" s="13"/>
      <c r="D61" s="13"/>
    </row>
    <row r="62" spans="1:4" x14ac:dyDescent="0.25">
      <c r="A62" s="13"/>
      <c r="B62" s="13"/>
      <c r="C62" s="13"/>
      <c r="D62" s="13"/>
    </row>
    <row r="63" spans="1:4" x14ac:dyDescent="0.25">
      <c r="A63" s="13"/>
      <c r="B63" s="13"/>
      <c r="C63" s="13"/>
      <c r="D63" s="13"/>
    </row>
    <row r="64" spans="1:4" x14ac:dyDescent="0.25">
      <c r="A64" s="13"/>
      <c r="B64" s="13"/>
      <c r="C64" s="13"/>
      <c r="D64" s="13"/>
    </row>
    <row r="65" spans="1:4" x14ac:dyDescent="0.25">
      <c r="A65" s="13"/>
      <c r="B65" s="13"/>
      <c r="C65" s="13"/>
      <c r="D65" s="13"/>
    </row>
    <row r="66" spans="1:4" x14ac:dyDescent="0.25">
      <c r="A66" s="13"/>
      <c r="B66" s="13"/>
      <c r="C66" s="13"/>
      <c r="D66" s="13"/>
    </row>
    <row r="67" spans="1:4" x14ac:dyDescent="0.25">
      <c r="A67" s="13"/>
      <c r="B67" s="13"/>
      <c r="C67" s="13"/>
      <c r="D67" s="13"/>
    </row>
    <row r="68" spans="1:4" x14ac:dyDescent="0.25">
      <c r="A68" s="13"/>
      <c r="B68" s="13"/>
      <c r="C68" s="13"/>
      <c r="D68" s="13"/>
    </row>
    <row r="69" spans="1:4" x14ac:dyDescent="0.25">
      <c r="A69" s="13"/>
      <c r="B69" s="13"/>
      <c r="C69" s="13"/>
      <c r="D69" s="13"/>
    </row>
    <row r="70" spans="1:4" x14ac:dyDescent="0.25">
      <c r="A70" s="13"/>
      <c r="B70" s="13"/>
      <c r="C70" s="13"/>
      <c r="D70" s="13"/>
    </row>
    <row r="71" spans="1:4" x14ac:dyDescent="0.25">
      <c r="A71" s="13"/>
      <c r="B71" s="13"/>
      <c r="C71" s="13"/>
      <c r="D71" s="13"/>
    </row>
    <row r="72" spans="1:4" x14ac:dyDescent="0.25">
      <c r="A72" s="13"/>
      <c r="B72" s="13"/>
      <c r="C72" s="13"/>
      <c r="D72" s="13"/>
    </row>
    <row r="73" spans="1:4" x14ac:dyDescent="0.25">
      <c r="A73" s="13"/>
      <c r="B73" s="13"/>
      <c r="C73" s="13"/>
      <c r="D73" s="13"/>
    </row>
    <row r="74" spans="1:4" x14ac:dyDescent="0.25">
      <c r="A74" s="13"/>
      <c r="B74" s="13"/>
      <c r="C74" s="13"/>
      <c r="D74" s="13"/>
    </row>
    <row r="75" spans="1:4" x14ac:dyDescent="0.25">
      <c r="A75" s="13"/>
      <c r="B75" s="13"/>
      <c r="C75" s="13"/>
      <c r="D75" s="13"/>
    </row>
    <row r="76" spans="1:4" x14ac:dyDescent="0.25">
      <c r="A76" s="13"/>
      <c r="B76" s="13"/>
      <c r="C76" s="13"/>
      <c r="D76" s="13"/>
    </row>
    <row r="77" spans="1:4" x14ac:dyDescent="0.25">
      <c r="A77" s="13"/>
      <c r="B77" s="13"/>
      <c r="C77" s="13"/>
      <c r="D77" s="13"/>
    </row>
    <row r="78" spans="1:4" x14ac:dyDescent="0.25">
      <c r="A78" s="13"/>
      <c r="B78" s="13"/>
      <c r="C78" s="13"/>
      <c r="D78" s="13"/>
    </row>
    <row r="79" spans="1:4" x14ac:dyDescent="0.25">
      <c r="A79" s="13"/>
      <c r="B79" s="13"/>
      <c r="C79" s="13"/>
      <c r="D79" s="13"/>
    </row>
    <row r="80" spans="1:4" x14ac:dyDescent="0.25">
      <c r="A80" s="13"/>
      <c r="B80" s="13"/>
      <c r="C80" s="13"/>
      <c r="D80" s="13"/>
    </row>
    <row r="81" spans="1:4" x14ac:dyDescent="0.25">
      <c r="A81" s="13"/>
      <c r="B81" s="13"/>
      <c r="C81" s="13"/>
      <c r="D81" s="13"/>
    </row>
    <row r="82" spans="1:4" x14ac:dyDescent="0.25">
      <c r="A82" s="13"/>
      <c r="B82" s="13"/>
      <c r="C82" s="13"/>
      <c r="D82" s="13"/>
    </row>
    <row r="83" spans="1:4" x14ac:dyDescent="0.25">
      <c r="A83" s="13"/>
      <c r="B83" s="13"/>
      <c r="C83" s="13"/>
      <c r="D83" s="13"/>
    </row>
    <row r="84" spans="1:4" x14ac:dyDescent="0.25">
      <c r="A84" s="13"/>
      <c r="B84" s="13"/>
      <c r="C84" s="13"/>
      <c r="D84" s="13"/>
    </row>
    <row r="85" spans="1:4" x14ac:dyDescent="0.25">
      <c r="A85" s="13"/>
      <c r="B85" s="13"/>
      <c r="C85" s="13"/>
      <c r="D85" s="13"/>
    </row>
    <row r="86" spans="1:4" x14ac:dyDescent="0.25">
      <c r="A86" s="13"/>
      <c r="B86" s="13"/>
      <c r="C86" s="13"/>
      <c r="D86" s="13"/>
    </row>
    <row r="87" spans="1:4" x14ac:dyDescent="0.25">
      <c r="A87" s="13"/>
      <c r="B87" s="13"/>
      <c r="C87" s="13"/>
      <c r="D87" s="13"/>
    </row>
    <row r="88" spans="1:4" x14ac:dyDescent="0.25">
      <c r="A88" s="13"/>
      <c r="B88" s="13"/>
      <c r="C88" s="13"/>
      <c r="D88" s="13"/>
    </row>
    <row r="89" spans="1:4" x14ac:dyDescent="0.25">
      <c r="A89" s="13"/>
      <c r="B89" s="13"/>
      <c r="C89" s="13"/>
      <c r="D89" s="13"/>
    </row>
    <row r="90" spans="1:4" x14ac:dyDescent="0.25">
      <c r="A90" s="13"/>
      <c r="B90" s="13"/>
      <c r="C90" s="13"/>
      <c r="D90" s="13"/>
    </row>
    <row r="91" spans="1:4" x14ac:dyDescent="0.25">
      <c r="A91" s="13"/>
      <c r="B91" s="13"/>
      <c r="C91" s="13"/>
      <c r="D91" s="13"/>
    </row>
    <row r="92" spans="1:4" x14ac:dyDescent="0.25">
      <c r="A92" s="13"/>
      <c r="B92" s="13"/>
      <c r="C92" s="13"/>
      <c r="D92" s="13"/>
    </row>
    <row r="93" spans="1:4" x14ac:dyDescent="0.25">
      <c r="A93" s="13"/>
      <c r="B93" s="13"/>
      <c r="C93" s="13"/>
      <c r="D93" s="13"/>
    </row>
    <row r="94" spans="1:4" x14ac:dyDescent="0.25">
      <c r="A94" s="13"/>
      <c r="B94" s="13"/>
      <c r="C94" s="13"/>
      <c r="D94" s="13"/>
    </row>
    <row r="95" spans="1:4" x14ac:dyDescent="0.25">
      <c r="A95" s="13"/>
      <c r="B95" s="13"/>
      <c r="C95" s="13"/>
      <c r="D95" s="13"/>
    </row>
    <row r="96" spans="1:4" x14ac:dyDescent="0.25">
      <c r="A96" s="13"/>
      <c r="B96" s="13"/>
      <c r="C96" s="13"/>
      <c r="D96" s="13"/>
    </row>
    <row r="97" spans="1:4" x14ac:dyDescent="0.25">
      <c r="A97" s="13"/>
      <c r="B97" s="13"/>
      <c r="C97" s="13"/>
      <c r="D97" s="13"/>
    </row>
    <row r="98" spans="1:4" x14ac:dyDescent="0.25">
      <c r="A98" s="13"/>
      <c r="B98" s="13"/>
      <c r="C98" s="13"/>
      <c r="D98" s="13"/>
    </row>
    <row r="99" spans="1:4" x14ac:dyDescent="0.25">
      <c r="A99" s="13"/>
      <c r="B99" s="13"/>
      <c r="C99" s="13"/>
      <c r="D99" s="13"/>
    </row>
    <row r="100" spans="1:4" x14ac:dyDescent="0.25">
      <c r="A100" s="13"/>
      <c r="B100" s="13"/>
      <c r="C100" s="13"/>
      <c r="D100" s="13"/>
    </row>
    <row r="101" spans="1:4" x14ac:dyDescent="0.25">
      <c r="A101" s="13"/>
      <c r="B101" s="13"/>
      <c r="C101" s="13"/>
      <c r="D101" s="13"/>
    </row>
    <row r="102" spans="1:4" x14ac:dyDescent="0.25">
      <c r="A102" s="13"/>
      <c r="B102" s="13"/>
      <c r="C102" s="13"/>
      <c r="D102" s="13"/>
    </row>
    <row r="103" spans="1:4" x14ac:dyDescent="0.25">
      <c r="A103" s="13"/>
      <c r="B103" s="13"/>
      <c r="C103" s="13"/>
      <c r="D103" s="13"/>
    </row>
    <row r="104" spans="1:4" x14ac:dyDescent="0.25">
      <c r="A104" s="13"/>
      <c r="B104" s="13"/>
      <c r="C104" s="13"/>
      <c r="D104" s="13"/>
    </row>
    <row r="105" spans="1:4" x14ac:dyDescent="0.25">
      <c r="A105" s="13"/>
      <c r="B105" s="13"/>
      <c r="C105" s="13"/>
      <c r="D105" s="13"/>
    </row>
    <row r="106" spans="1:4" x14ac:dyDescent="0.25">
      <c r="A106" s="13"/>
      <c r="B106" s="13"/>
      <c r="C106" s="13"/>
      <c r="D106" s="13"/>
    </row>
    <row r="107" spans="1:4" x14ac:dyDescent="0.25">
      <c r="A107" s="13"/>
      <c r="B107" s="13"/>
      <c r="C107" s="13"/>
      <c r="D107" s="13"/>
    </row>
    <row r="108" spans="1:4" x14ac:dyDescent="0.25">
      <c r="A108" s="13"/>
      <c r="B108" s="13"/>
      <c r="C108" s="13"/>
      <c r="D108" s="13"/>
    </row>
    <row r="109" spans="1:4" x14ac:dyDescent="0.25">
      <c r="A109" s="13"/>
      <c r="B109" s="13"/>
      <c r="C109" s="13"/>
      <c r="D109" s="13"/>
    </row>
    <row r="110" spans="1:4" x14ac:dyDescent="0.25">
      <c r="A110" s="13"/>
      <c r="B110" s="13"/>
      <c r="C110" s="13"/>
      <c r="D110" s="13"/>
    </row>
    <row r="111" spans="1:4" x14ac:dyDescent="0.25">
      <c r="A111" s="13"/>
      <c r="B111" s="13"/>
      <c r="C111" s="13"/>
      <c r="D111" s="13"/>
    </row>
    <row r="112" spans="1:4" x14ac:dyDescent="0.25">
      <c r="A112" s="13"/>
      <c r="B112" s="13"/>
      <c r="C112" s="13"/>
      <c r="D112" s="13"/>
    </row>
    <row r="113" spans="1:4" x14ac:dyDescent="0.25">
      <c r="A113" s="13"/>
      <c r="B113" s="13"/>
      <c r="C113" s="13"/>
      <c r="D113" s="13"/>
    </row>
    <row r="114" spans="1:4" x14ac:dyDescent="0.25">
      <c r="A114" s="13"/>
      <c r="B114" s="13"/>
      <c r="C114" s="13"/>
      <c r="D114" s="13"/>
    </row>
    <row r="115" spans="1:4" x14ac:dyDescent="0.25">
      <c r="A115" s="13"/>
      <c r="B115" s="13"/>
      <c r="C115" s="13"/>
      <c r="D115" s="13"/>
    </row>
    <row r="116" spans="1:4" x14ac:dyDescent="0.25">
      <c r="A116" s="13"/>
      <c r="B116" s="13"/>
      <c r="C116" s="13"/>
      <c r="D116" s="13"/>
    </row>
  </sheetData>
  <printOptions horizontalCentered="1"/>
  <pageMargins left="0.5" right="0.5" top="0.7" bottom="1" header="0.5" footer="0.5"/>
  <pageSetup scale="68"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AJ69"/>
  <sheetViews>
    <sheetView zoomScale="70" zoomScaleNormal="70" workbookViewId="0">
      <selection sqref="A1:U1"/>
    </sheetView>
  </sheetViews>
  <sheetFormatPr defaultRowHeight="15" x14ac:dyDescent="0.25"/>
  <cols>
    <col min="1" max="2" width="10" customWidth="1"/>
    <col min="3" max="3" width="22.7109375" customWidth="1"/>
    <col min="4" max="4" width="14.140625" customWidth="1"/>
    <col min="5" max="5" width="16.42578125" customWidth="1"/>
    <col min="6" max="6" width="16.28515625" customWidth="1"/>
    <col min="7" max="7" width="12.5703125" customWidth="1"/>
    <col min="8" max="8" width="15.42578125" bestFit="1" customWidth="1"/>
    <col min="9" max="9" width="15.85546875" bestFit="1" customWidth="1"/>
    <col min="10" max="10" width="13.42578125" bestFit="1" customWidth="1"/>
    <col min="11" max="11" width="15.85546875" style="2" bestFit="1" customWidth="1"/>
    <col min="12" max="12" width="11.42578125" bestFit="1" customWidth="1"/>
    <col min="13" max="13" width="15.42578125" bestFit="1" customWidth="1"/>
    <col min="14" max="14" width="14.7109375" bestFit="1" customWidth="1"/>
    <col min="15" max="15" width="13" bestFit="1" customWidth="1"/>
    <col min="16" max="16" width="15.42578125" bestFit="1" customWidth="1"/>
    <col min="17" max="17" width="15.5703125" bestFit="1" customWidth="1"/>
    <col min="18" max="18" width="15.85546875" bestFit="1" customWidth="1"/>
    <col min="19" max="19" width="15.28515625" bestFit="1" customWidth="1"/>
    <col min="20" max="20" width="14.7109375" customWidth="1"/>
    <col min="21" max="21" width="14" bestFit="1" customWidth="1"/>
    <col min="22" max="23" width="15" customWidth="1"/>
  </cols>
  <sheetData>
    <row r="1" spans="1:36" ht="34.5" customHeight="1" x14ac:dyDescent="0.45">
      <c r="A1" s="442" t="s">
        <v>505</v>
      </c>
      <c r="B1" s="442"/>
      <c r="C1" s="442"/>
      <c r="D1" s="442"/>
      <c r="E1" s="442"/>
      <c r="F1" s="442"/>
      <c r="G1" s="442"/>
      <c r="H1" s="442"/>
      <c r="I1" s="442"/>
      <c r="J1" s="442"/>
      <c r="K1" s="442"/>
      <c r="L1" s="442"/>
      <c r="M1" s="442"/>
      <c r="N1" s="442"/>
      <c r="O1" s="442"/>
      <c r="P1" s="442"/>
      <c r="Q1" s="442"/>
      <c r="R1" s="442"/>
      <c r="S1" s="442"/>
      <c r="T1" s="442"/>
      <c r="U1" s="442"/>
      <c r="V1" s="82"/>
      <c r="W1" s="335"/>
      <c r="X1" s="2"/>
      <c r="Y1" s="2"/>
      <c r="Z1" s="2"/>
      <c r="AA1" s="2"/>
      <c r="AB1" s="2"/>
      <c r="AC1" s="2"/>
      <c r="AD1" s="2"/>
      <c r="AE1" s="2"/>
      <c r="AF1" s="2"/>
      <c r="AG1" s="2"/>
      <c r="AH1" s="2"/>
      <c r="AI1" s="2"/>
      <c r="AJ1" s="2"/>
    </row>
    <row r="2" spans="1:36" s="159" customFormat="1" ht="25.5" customHeight="1" x14ac:dyDescent="0.25">
      <c r="A2" s="71"/>
      <c r="B2" s="71"/>
      <c r="C2" s="71"/>
      <c r="D2" s="71"/>
      <c r="E2" s="71"/>
      <c r="F2" s="71"/>
      <c r="G2" s="71"/>
      <c r="H2" s="71"/>
      <c r="I2" s="71"/>
      <c r="J2" s="71"/>
      <c r="K2" s="257"/>
      <c r="R2" s="71"/>
      <c r="S2" s="71"/>
      <c r="U2" s="71"/>
      <c r="V2" s="61" t="str">
        <f>General!D1</f>
        <v>Questa Mine Site</v>
      </c>
      <c r="W2" s="383"/>
      <c r="X2" s="383"/>
      <c r="Y2" s="383"/>
      <c r="Z2" s="383"/>
      <c r="AA2" s="383"/>
      <c r="AB2" s="383"/>
      <c r="AC2" s="383"/>
      <c r="AD2" s="383"/>
      <c r="AE2" s="383"/>
      <c r="AF2" s="383"/>
      <c r="AG2" s="383"/>
      <c r="AH2" s="383"/>
      <c r="AI2" s="383"/>
      <c r="AJ2" s="383"/>
    </row>
    <row r="3" spans="1:36" s="159" customFormat="1" ht="15.75" customHeight="1" x14ac:dyDescent="0.25">
      <c r="A3" s="13"/>
      <c r="B3" s="13"/>
      <c r="C3" s="13"/>
      <c r="D3" s="13"/>
      <c r="E3" s="66" t="s">
        <v>506</v>
      </c>
      <c r="F3" s="83">
        <f>F64</f>
        <v>310270350.39385974</v>
      </c>
      <c r="G3" s="217"/>
      <c r="H3" s="217"/>
      <c r="I3" s="217"/>
      <c r="J3" s="88"/>
      <c r="K3" s="11"/>
      <c r="R3" s="217"/>
      <c r="S3" s="13"/>
      <c r="U3" s="13"/>
      <c r="V3" s="218" t="s">
        <v>584</v>
      </c>
      <c r="W3" s="383"/>
      <c r="X3" s="383"/>
      <c r="Y3" s="383"/>
      <c r="Z3" s="383"/>
      <c r="AA3" s="383"/>
      <c r="AB3" s="383"/>
      <c r="AC3" s="383"/>
      <c r="AD3" s="383"/>
      <c r="AE3" s="383"/>
      <c r="AF3" s="383"/>
      <c r="AG3" s="383"/>
      <c r="AH3" s="383"/>
      <c r="AI3" s="383"/>
      <c r="AJ3" s="383"/>
    </row>
    <row r="4" spans="1:36" s="159" customFormat="1" ht="15.75" x14ac:dyDescent="0.25">
      <c r="A4" s="13"/>
      <c r="B4" s="13"/>
      <c r="C4" s="13"/>
      <c r="D4" s="13"/>
      <c r="E4" s="219"/>
      <c r="F4" s="220"/>
      <c r="G4" s="217"/>
      <c r="H4" s="217"/>
      <c r="I4" s="217"/>
      <c r="J4" s="221"/>
      <c r="K4" s="258"/>
      <c r="R4" s="217"/>
      <c r="S4" s="217"/>
      <c r="U4" s="67" t="str">
        <f>General!C3</f>
        <v>Updated by Kiewit/AECOM</v>
      </c>
      <c r="V4" s="73">
        <f>General!$D$3</f>
        <v>43419</v>
      </c>
      <c r="W4" s="383"/>
      <c r="X4" s="383"/>
      <c r="Y4" s="383"/>
      <c r="Z4" s="383"/>
      <c r="AA4" s="383"/>
      <c r="AB4" s="383"/>
      <c r="AC4" s="383"/>
      <c r="AD4" s="383"/>
      <c r="AE4" s="383"/>
      <c r="AF4" s="383"/>
      <c r="AG4" s="383"/>
      <c r="AH4" s="383"/>
      <c r="AI4" s="383"/>
      <c r="AJ4" s="383"/>
    </row>
    <row r="5" spans="1:36" s="159" customFormat="1" ht="15" customHeight="1" x14ac:dyDescent="0.25">
      <c r="A5" s="85"/>
      <c r="B5" s="85"/>
      <c r="C5" s="222"/>
      <c r="D5" s="222"/>
      <c r="E5" s="222"/>
      <c r="F5" s="222"/>
      <c r="G5" s="13"/>
      <c r="H5" s="13"/>
      <c r="I5" s="223"/>
      <c r="J5" s="224"/>
      <c r="K5" s="11"/>
      <c r="R5" s="223"/>
      <c r="S5" s="13"/>
      <c r="T5" s="13"/>
      <c r="U5" s="13"/>
      <c r="V5" s="67"/>
      <c r="W5" s="36"/>
      <c r="X5" s="383"/>
      <c r="Y5" s="383"/>
      <c r="Z5" s="383"/>
      <c r="AA5" s="383"/>
      <c r="AB5" s="383"/>
      <c r="AC5" s="383"/>
      <c r="AD5" s="383"/>
      <c r="AE5" s="383"/>
      <c r="AF5" s="383"/>
      <c r="AG5" s="383"/>
      <c r="AH5" s="383"/>
      <c r="AI5" s="383"/>
      <c r="AJ5" s="383"/>
    </row>
    <row r="6" spans="1:36" s="159" customFormat="1" ht="15" customHeight="1" x14ac:dyDescent="0.25">
      <c r="A6" s="85"/>
      <c r="B6" s="85"/>
      <c r="E6" s="69" t="s">
        <v>601</v>
      </c>
      <c r="F6" s="225">
        <f>'21...Inflation Rate'!G56</f>
        <v>2.3563832784155192E-2</v>
      </c>
      <c r="G6" s="10" t="s">
        <v>507</v>
      </c>
      <c r="H6" s="13"/>
      <c r="I6" s="13"/>
      <c r="J6" s="13"/>
      <c r="K6" s="259"/>
      <c r="R6" s="13"/>
      <c r="S6" s="224"/>
      <c r="T6" s="224"/>
      <c r="U6" s="13"/>
      <c r="V6" s="13"/>
      <c r="W6" s="11"/>
      <c r="X6" s="383"/>
      <c r="Y6" s="383"/>
      <c r="Z6" s="383"/>
      <c r="AA6" s="383"/>
      <c r="AB6" s="383"/>
      <c r="AC6" s="383"/>
      <c r="AD6" s="383"/>
      <c r="AE6" s="383"/>
      <c r="AF6" s="383"/>
      <c r="AG6" s="383"/>
      <c r="AH6" s="383"/>
      <c r="AI6" s="383"/>
      <c r="AJ6" s="383"/>
    </row>
    <row r="7" spans="1:36" s="159" customFormat="1" ht="15.75" customHeight="1" x14ac:dyDescent="0.25">
      <c r="A7" s="85"/>
      <c r="B7" s="85"/>
      <c r="E7" s="69" t="s">
        <v>600</v>
      </c>
      <c r="F7" s="226">
        <f>'22...Discount Rate'!$F$50</f>
        <v>5.922413935813875E-2</v>
      </c>
      <c r="G7" s="10" t="s">
        <v>508</v>
      </c>
      <c r="H7" s="13"/>
      <c r="I7" s="13"/>
      <c r="J7" s="13"/>
      <c r="K7" s="11"/>
      <c r="R7" s="13"/>
      <c r="S7" s="13"/>
      <c r="T7" s="13"/>
      <c r="U7" s="13"/>
      <c r="V7" s="13"/>
      <c r="W7" s="11"/>
      <c r="X7" s="383"/>
      <c r="Y7" s="383"/>
      <c r="Z7" s="383"/>
      <c r="AA7" s="383"/>
      <c r="AB7" s="383"/>
      <c r="AC7" s="383"/>
      <c r="AD7" s="383"/>
      <c r="AE7" s="383"/>
      <c r="AF7" s="383"/>
      <c r="AG7" s="383"/>
      <c r="AH7" s="383"/>
      <c r="AI7" s="383"/>
      <c r="AJ7" s="383"/>
    </row>
    <row r="8" spans="1:36" s="159" customFormat="1" ht="15.75" customHeight="1" x14ac:dyDescent="0.25">
      <c r="A8" s="85"/>
      <c r="B8" s="85"/>
      <c r="C8" s="66"/>
      <c r="D8" s="227"/>
      <c r="E8" s="13"/>
      <c r="F8" s="85"/>
      <c r="G8" s="13"/>
      <c r="H8" s="13"/>
      <c r="I8" s="13"/>
      <c r="J8" s="13"/>
      <c r="K8" s="11"/>
      <c r="R8" s="13"/>
      <c r="S8" s="13"/>
      <c r="T8" s="13"/>
      <c r="U8" s="13"/>
      <c r="V8" s="13"/>
      <c r="W8" s="11"/>
      <c r="X8" s="383"/>
      <c r="Y8" s="383"/>
      <c r="Z8" s="383"/>
      <c r="AA8" s="383"/>
      <c r="AB8" s="383"/>
      <c r="AC8" s="383"/>
      <c r="AD8" s="383"/>
      <c r="AE8" s="383"/>
      <c r="AF8" s="383"/>
      <c r="AG8" s="383"/>
      <c r="AH8" s="383"/>
      <c r="AI8" s="383"/>
      <c r="AJ8" s="383"/>
    </row>
    <row r="9" spans="1:36" s="159" customFormat="1" ht="15.75" customHeight="1" x14ac:dyDescent="0.25">
      <c r="A9" s="271"/>
      <c r="B9" s="272"/>
      <c r="C9" s="273"/>
      <c r="D9" s="443" t="s">
        <v>510</v>
      </c>
      <c r="E9" s="444"/>
      <c r="F9" s="445"/>
      <c r="G9" s="452" t="s">
        <v>614</v>
      </c>
      <c r="H9" s="453"/>
      <c r="I9" s="453"/>
      <c r="J9" s="453"/>
      <c r="K9" s="453"/>
      <c r="L9" s="453"/>
      <c r="M9" s="453"/>
      <c r="N9" s="453"/>
      <c r="O9" s="453"/>
      <c r="P9" s="453"/>
      <c r="Q9" s="453"/>
      <c r="R9" s="453"/>
      <c r="S9" s="453"/>
      <c r="T9" s="453"/>
      <c r="U9" s="453"/>
      <c r="V9" s="454"/>
      <c r="W9" s="228"/>
      <c r="X9" s="383"/>
      <c r="Y9" s="383"/>
      <c r="Z9" s="383"/>
      <c r="AA9" s="383"/>
      <c r="AB9" s="383"/>
      <c r="AC9" s="383"/>
      <c r="AD9" s="383"/>
      <c r="AE9" s="383"/>
      <c r="AF9" s="383"/>
      <c r="AG9" s="383"/>
      <c r="AH9" s="383"/>
      <c r="AI9" s="383"/>
      <c r="AJ9" s="383"/>
    </row>
    <row r="10" spans="1:36" s="159" customFormat="1" ht="15.75" customHeight="1" x14ac:dyDescent="0.25">
      <c r="A10" s="274"/>
      <c r="B10" s="268"/>
      <c r="C10" s="69"/>
      <c r="D10" s="446"/>
      <c r="E10" s="447"/>
      <c r="F10" s="448"/>
      <c r="G10" s="362"/>
      <c r="H10" s="267"/>
      <c r="I10" s="267"/>
      <c r="J10" s="267"/>
      <c r="K10" s="229" t="s">
        <v>509</v>
      </c>
      <c r="L10" s="270"/>
      <c r="M10" s="270"/>
      <c r="N10" s="275"/>
      <c r="O10" s="275"/>
      <c r="P10" s="275"/>
      <c r="Q10" s="275"/>
      <c r="R10" s="228"/>
      <c r="S10" s="228"/>
      <c r="T10" s="228"/>
      <c r="U10" s="267"/>
      <c r="V10" s="363"/>
      <c r="W10" s="228"/>
      <c r="X10" s="383"/>
      <c r="Y10" s="383"/>
      <c r="Z10" s="383"/>
      <c r="AA10" s="383"/>
      <c r="AB10" s="383"/>
      <c r="AC10" s="383"/>
      <c r="AD10" s="383"/>
      <c r="AE10" s="383"/>
      <c r="AF10" s="383"/>
      <c r="AG10" s="383"/>
      <c r="AH10" s="383"/>
      <c r="AI10" s="383"/>
      <c r="AJ10" s="383"/>
    </row>
    <row r="11" spans="1:36" s="159" customFormat="1" ht="15.75" customHeight="1" x14ac:dyDescent="0.25">
      <c r="A11" s="274"/>
      <c r="B11" s="268"/>
      <c r="C11" s="268"/>
      <c r="D11" s="449"/>
      <c r="E11" s="450"/>
      <c r="F11" s="451"/>
      <c r="G11" s="364"/>
      <c r="H11" s="229" t="s">
        <v>26</v>
      </c>
      <c r="I11" s="162"/>
      <c r="J11" s="162"/>
      <c r="K11" s="229" t="s">
        <v>512</v>
      </c>
      <c r="L11" s="268" t="s">
        <v>513</v>
      </c>
      <c r="M11" s="268"/>
      <c r="N11" s="229" t="s">
        <v>514</v>
      </c>
      <c r="O11" s="229" t="s">
        <v>515</v>
      </c>
      <c r="P11" s="229" t="s">
        <v>516</v>
      </c>
      <c r="Q11" s="229" t="s">
        <v>517</v>
      </c>
      <c r="R11" s="162"/>
      <c r="S11" s="229" t="s">
        <v>512</v>
      </c>
      <c r="T11" s="229"/>
      <c r="U11" s="229" t="s">
        <v>511</v>
      </c>
      <c r="V11" s="276"/>
      <c r="W11" s="229"/>
      <c r="X11" s="383"/>
      <c r="Y11" s="383"/>
      <c r="Z11" s="383"/>
      <c r="AA11" s="383"/>
      <c r="AB11" s="383"/>
      <c r="AC11" s="383"/>
      <c r="AD11" s="383"/>
      <c r="AE11" s="383"/>
      <c r="AF11" s="383"/>
      <c r="AG11" s="383"/>
      <c r="AH11" s="383"/>
      <c r="AI11" s="383"/>
      <c r="AJ11" s="383"/>
    </row>
    <row r="12" spans="1:36" s="159" customFormat="1" ht="15.75" customHeight="1" x14ac:dyDescent="0.25">
      <c r="A12" s="274"/>
      <c r="B12" s="268"/>
      <c r="C12" s="268"/>
      <c r="D12" s="288" t="s">
        <v>518</v>
      </c>
      <c r="E12" s="268" t="s">
        <v>519</v>
      </c>
      <c r="F12" s="289" t="s">
        <v>520</v>
      </c>
      <c r="G12" s="364" t="s">
        <v>521</v>
      </c>
      <c r="H12" s="229" t="s">
        <v>263</v>
      </c>
      <c r="I12" s="229"/>
      <c r="J12" s="229" t="s">
        <v>622</v>
      </c>
      <c r="K12" s="229" t="s">
        <v>593</v>
      </c>
      <c r="L12" s="268" t="s">
        <v>399</v>
      </c>
      <c r="M12" s="268"/>
      <c r="N12" s="229" t="s">
        <v>523</v>
      </c>
      <c r="O12" s="229" t="s">
        <v>524</v>
      </c>
      <c r="P12" s="229" t="s">
        <v>525</v>
      </c>
      <c r="Q12" s="229" t="s">
        <v>526</v>
      </c>
      <c r="R12" s="229" t="s">
        <v>111</v>
      </c>
      <c r="S12" s="229" t="s">
        <v>527</v>
      </c>
      <c r="T12" s="229" t="s">
        <v>528</v>
      </c>
      <c r="U12" s="229" t="s">
        <v>522</v>
      </c>
      <c r="V12" s="276" t="s">
        <v>68</v>
      </c>
      <c r="W12" s="229"/>
    </row>
    <row r="13" spans="1:36" s="159" customFormat="1" ht="15.75" customHeight="1" x14ac:dyDescent="0.25">
      <c r="A13" s="274"/>
      <c r="B13" s="268"/>
      <c r="C13" s="268" t="s">
        <v>529</v>
      </c>
      <c r="D13" s="288" t="s">
        <v>242</v>
      </c>
      <c r="E13" s="268" t="s">
        <v>530</v>
      </c>
      <c r="F13" s="289" t="s">
        <v>531</v>
      </c>
      <c r="G13" s="364" t="s">
        <v>231</v>
      </c>
      <c r="H13" s="229" t="s">
        <v>532</v>
      </c>
      <c r="I13" s="229" t="s">
        <v>111</v>
      </c>
      <c r="J13" s="229" t="s">
        <v>623</v>
      </c>
      <c r="K13" s="229" t="s">
        <v>227</v>
      </c>
      <c r="L13" s="268" t="s">
        <v>533</v>
      </c>
      <c r="M13" s="268" t="s">
        <v>534</v>
      </c>
      <c r="N13" s="229" t="s">
        <v>535</v>
      </c>
      <c r="O13" s="229" t="s">
        <v>536</v>
      </c>
      <c r="P13" s="229" t="s">
        <v>535</v>
      </c>
      <c r="Q13" s="229" t="s">
        <v>537</v>
      </c>
      <c r="R13" s="229" t="s">
        <v>538</v>
      </c>
      <c r="S13" s="229" t="s">
        <v>538</v>
      </c>
      <c r="T13" s="229" t="s">
        <v>538</v>
      </c>
      <c r="U13" s="229" t="s">
        <v>539</v>
      </c>
      <c r="V13" s="276" t="s">
        <v>539</v>
      </c>
      <c r="W13" s="229"/>
    </row>
    <row r="14" spans="1:36" s="159" customFormat="1" ht="15.75" customHeight="1" x14ac:dyDescent="0.25">
      <c r="A14" s="277" t="s">
        <v>540</v>
      </c>
      <c r="B14" s="230" t="s">
        <v>540</v>
      </c>
      <c r="C14" s="230" t="s">
        <v>452</v>
      </c>
      <c r="D14" s="290" t="s">
        <v>247</v>
      </c>
      <c r="E14" s="230" t="s">
        <v>247</v>
      </c>
      <c r="F14" s="278" t="s">
        <v>247</v>
      </c>
      <c r="G14" s="365" t="s">
        <v>247</v>
      </c>
      <c r="H14" s="231" t="s">
        <v>247</v>
      </c>
      <c r="I14" s="231" t="s">
        <v>247</v>
      </c>
      <c r="J14" s="231"/>
      <c r="K14" s="231" t="s">
        <v>247</v>
      </c>
      <c r="L14" s="230" t="s">
        <v>247</v>
      </c>
      <c r="M14" s="230" t="s">
        <v>247</v>
      </c>
      <c r="N14" s="231" t="s">
        <v>247</v>
      </c>
      <c r="O14" s="231" t="s">
        <v>247</v>
      </c>
      <c r="P14" s="231" t="s">
        <v>247</v>
      </c>
      <c r="Q14" s="231" t="s">
        <v>247</v>
      </c>
      <c r="R14" s="231" t="s">
        <v>247</v>
      </c>
      <c r="S14" s="231" t="s">
        <v>247</v>
      </c>
      <c r="T14" s="231" t="s">
        <v>247</v>
      </c>
      <c r="U14" s="230" t="s">
        <v>247</v>
      </c>
      <c r="V14" s="278" t="s">
        <v>247</v>
      </c>
      <c r="W14" s="230"/>
    </row>
    <row r="15" spans="1:36" s="159" customFormat="1" ht="15" customHeight="1" x14ac:dyDescent="0.25">
      <c r="A15" s="279">
        <v>0</v>
      </c>
      <c r="B15" s="46">
        <v>2018</v>
      </c>
      <c r="C15" s="57" t="s">
        <v>541</v>
      </c>
      <c r="D15" s="291">
        <f>SUM(G15:V15)</f>
        <v>5449047.5637591807</v>
      </c>
      <c r="E15" s="232">
        <f>D15</f>
        <v>5449047.5637591807</v>
      </c>
      <c r="F15" s="292">
        <f>D15</f>
        <v>5449047.5637591807</v>
      </c>
      <c r="G15" s="366"/>
      <c r="H15" s="234"/>
      <c r="I15" s="234"/>
      <c r="J15" s="234"/>
      <c r="K15" s="234"/>
      <c r="L15" s="160"/>
      <c r="M15" s="233">
        <f>(1/24)*M$67</f>
        <v>541111.38991450088</v>
      </c>
      <c r="N15" s="233">
        <f>(0.3)*N$67</f>
        <v>1948001.0036922032</v>
      </c>
      <c r="O15" s="233">
        <f>(1/24)*O$67</f>
        <v>2029167.7121793781</v>
      </c>
      <c r="P15" s="233">
        <f>(1/24)*P$67</f>
        <v>405833.54243587569</v>
      </c>
      <c r="Q15" s="233">
        <f>(1/24)*Q$67</f>
        <v>270555.69495725044</v>
      </c>
      <c r="R15" s="234"/>
      <c r="S15" s="234">
        <f>'18...O&amp;M'!$D$55</f>
        <v>181912.68097743476</v>
      </c>
      <c r="T15" s="234">
        <f>'18...O&amp;M'!$D$73</f>
        <v>72465.539602537086</v>
      </c>
      <c r="U15" s="234"/>
      <c r="V15" s="280"/>
      <c r="W15" s="234"/>
    </row>
    <row r="16" spans="1:36" s="159" customFormat="1" ht="15" customHeight="1" x14ac:dyDescent="0.25">
      <c r="A16" s="279">
        <v>1</v>
      </c>
      <c r="B16" s="46">
        <f>B15+1</f>
        <v>2019</v>
      </c>
      <c r="C16" s="46" t="s">
        <v>542</v>
      </c>
      <c r="D16" s="291">
        <f t="shared" ref="D16:D63" si="0">SUM(G16:V16)</f>
        <v>21885556.171634007</v>
      </c>
      <c r="E16" s="235">
        <f>D16*(1+$F$6)^(A16-$A$15)</f>
        <v>22401263.757650625</v>
      </c>
      <c r="F16" s="293">
        <f>E16/(1+$F$7)^(A16-$A$15)</f>
        <v>21148747.394697014</v>
      </c>
      <c r="G16" s="367"/>
      <c r="H16" s="233">
        <f>(1/23)*H$67</f>
        <v>9440300.8106128108</v>
      </c>
      <c r="I16" s="233"/>
      <c r="J16" s="233"/>
      <c r="K16" s="233">
        <f>(1/23)*K$67</f>
        <v>4398873.1256724121</v>
      </c>
      <c r="L16" s="233">
        <f>(0.5)*L$67</f>
        <v>3246668.3394870055</v>
      </c>
      <c r="M16" s="233">
        <f t="shared" ref="M16:M38" si="1">(1/24)*M$67</f>
        <v>541111.38991450088</v>
      </c>
      <c r="N16" s="233">
        <f>(0.2)*N$67</f>
        <v>1298667.3357948023</v>
      </c>
      <c r="O16" s="233">
        <f t="shared" ref="O16:Q38" si="2">(1/24)*O$67</f>
        <v>2029167.7121793781</v>
      </c>
      <c r="P16" s="233">
        <f t="shared" si="2"/>
        <v>405833.54243587569</v>
      </c>
      <c r="Q16" s="233">
        <f t="shared" si="2"/>
        <v>270555.69495725044</v>
      </c>
      <c r="R16" s="234"/>
      <c r="S16" s="234">
        <f>'18...O&amp;M'!$D$55</f>
        <v>181912.68097743476</v>
      </c>
      <c r="T16" s="234">
        <f>'18...O&amp;M'!$D$73</f>
        <v>72465.539602537086</v>
      </c>
      <c r="U16" s="234"/>
      <c r="V16" s="280"/>
      <c r="W16" s="234"/>
    </row>
    <row r="17" spans="1:23" s="159" customFormat="1" ht="15" customHeight="1" x14ac:dyDescent="0.25">
      <c r="A17" s="279">
        <f>1+A16</f>
        <v>2</v>
      </c>
      <c r="B17" s="46">
        <f t="shared" ref="B17:B63" si="3">B16+1</f>
        <v>2020</v>
      </c>
      <c r="C17" s="46" t="s">
        <v>608</v>
      </c>
      <c r="D17" s="291">
        <f t="shared" si="0"/>
        <v>24349779.830638643</v>
      </c>
      <c r="E17" s="235">
        <f t="shared" ref="E17:E47" si="4">D17*(1+$F$6)^(A17-$A$15)</f>
        <v>25510848.429055933</v>
      </c>
      <c r="F17" s="293">
        <f t="shared" ref="F17:F63" si="5">E17/(1+$F$7)^(A17-$A$15)</f>
        <v>22737837.749895353</v>
      </c>
      <c r="G17" s="367"/>
      <c r="H17" s="233">
        <f t="shared" ref="H17:H38" si="6">(1/23)*H$67</f>
        <v>9440300.8106128108</v>
      </c>
      <c r="I17" s="233"/>
      <c r="J17" s="233">
        <f>$J$67</f>
        <v>5927253.3021961115</v>
      </c>
      <c r="K17" s="233">
        <f t="shared" ref="K17:K37" si="7">(1/23)*K$67</f>
        <v>4398873.1256724121</v>
      </c>
      <c r="L17" s="160"/>
      <c r="M17" s="233">
        <f t="shared" si="1"/>
        <v>541111.38991450088</v>
      </c>
      <c r="N17" s="233">
        <f>(0.05)*N$67</f>
        <v>324666.83394870057</v>
      </c>
      <c r="O17" s="233">
        <f t="shared" si="2"/>
        <v>2029167.7121793781</v>
      </c>
      <c r="P17" s="233">
        <f t="shared" si="2"/>
        <v>405833.54243587569</v>
      </c>
      <c r="Q17" s="233">
        <f t="shared" si="2"/>
        <v>270555.69495725044</v>
      </c>
      <c r="R17" s="234"/>
      <c r="S17" s="234">
        <f>'18...O&amp;M'!$D$55</f>
        <v>181912.68097743476</v>
      </c>
      <c r="T17" s="234">
        <f>'18...O&amp;M'!$D$73</f>
        <v>72465.539602537086</v>
      </c>
      <c r="U17" s="234">
        <f>'18...O&amp;M'!$C$23</f>
        <v>48139.198141632231</v>
      </c>
      <c r="V17" s="280">
        <f>'18...O&amp;M'!$B$96</f>
        <v>709500</v>
      </c>
      <c r="W17" s="234"/>
    </row>
    <row r="18" spans="1:23" s="159" customFormat="1" ht="15" customHeight="1" x14ac:dyDescent="0.25">
      <c r="A18" s="279">
        <f t="shared" ref="A18:A63" si="8">1+A17</f>
        <v>3</v>
      </c>
      <c r="B18" s="46">
        <f t="shared" si="3"/>
        <v>2021</v>
      </c>
      <c r="C18" s="46" t="s">
        <v>608</v>
      </c>
      <c r="D18" s="291">
        <f t="shared" si="0"/>
        <v>18422526.528442528</v>
      </c>
      <c r="E18" s="235">
        <f>D18*(1+$F$6)^(A18-$A$15)</f>
        <v>19755771.127537273</v>
      </c>
      <c r="F18" s="293">
        <f t="shared" si="5"/>
        <v>16623802.756304299</v>
      </c>
      <c r="G18" s="367"/>
      <c r="H18" s="233">
        <f t="shared" si="6"/>
        <v>9440300.8106128108</v>
      </c>
      <c r="I18" s="233"/>
      <c r="J18" s="233"/>
      <c r="K18" s="233">
        <f t="shared" si="7"/>
        <v>4398873.1256724121</v>
      </c>
      <c r="L18" s="160"/>
      <c r="M18" s="233">
        <f t="shared" si="1"/>
        <v>541111.38991450088</v>
      </c>
      <c r="N18" s="233">
        <f>(0.05)*N$67</f>
        <v>324666.83394870057</v>
      </c>
      <c r="O18" s="233">
        <f t="shared" si="2"/>
        <v>2029167.7121793781</v>
      </c>
      <c r="P18" s="233">
        <f t="shared" si="2"/>
        <v>405833.54243587569</v>
      </c>
      <c r="Q18" s="233">
        <f t="shared" si="2"/>
        <v>270555.69495725044</v>
      </c>
      <c r="R18" s="234"/>
      <c r="S18" s="234">
        <f>'18...O&amp;M'!$D$55</f>
        <v>181912.68097743476</v>
      </c>
      <c r="T18" s="234">
        <f>'18...O&amp;M'!$D$73</f>
        <v>72465.539602537086</v>
      </c>
      <c r="U18" s="234">
        <f>'18...O&amp;M'!$C$23</f>
        <v>48139.198141632231</v>
      </c>
      <c r="V18" s="280">
        <f>'18...O&amp;M'!$B$96</f>
        <v>709500</v>
      </c>
      <c r="W18" s="234"/>
    </row>
    <row r="19" spans="1:23" s="159" customFormat="1" ht="15" customHeight="1" x14ac:dyDescent="0.25">
      <c r="A19" s="279">
        <f t="shared" si="8"/>
        <v>4</v>
      </c>
      <c r="B19" s="46">
        <f t="shared" si="3"/>
        <v>2022</v>
      </c>
      <c r="C19" s="46" t="s">
        <v>608</v>
      </c>
      <c r="D19" s="291">
        <f t="shared" si="0"/>
        <v>18422526.528442528</v>
      </c>
      <c r="E19" s="235">
        <f t="shared" si="4"/>
        <v>20221292.814908601</v>
      </c>
      <c r="F19" s="293">
        <f t="shared" si="5"/>
        <v>16064138.4881972</v>
      </c>
      <c r="G19" s="367"/>
      <c r="H19" s="233">
        <f t="shared" si="6"/>
        <v>9440300.8106128108</v>
      </c>
      <c r="I19" s="233"/>
      <c r="J19" s="233"/>
      <c r="K19" s="233">
        <f t="shared" si="7"/>
        <v>4398873.1256724121</v>
      </c>
      <c r="L19" s="233"/>
      <c r="M19" s="233">
        <f t="shared" si="1"/>
        <v>541111.38991450088</v>
      </c>
      <c r="N19" s="233">
        <f>(0.05)*N$67</f>
        <v>324666.83394870057</v>
      </c>
      <c r="O19" s="233">
        <f t="shared" si="2"/>
        <v>2029167.7121793781</v>
      </c>
      <c r="P19" s="233">
        <f t="shared" si="2"/>
        <v>405833.54243587569</v>
      </c>
      <c r="Q19" s="233">
        <f t="shared" si="2"/>
        <v>270555.69495725044</v>
      </c>
      <c r="R19" s="234"/>
      <c r="S19" s="234">
        <f>'18...O&amp;M'!$D$55</f>
        <v>181912.68097743476</v>
      </c>
      <c r="T19" s="234">
        <f>'18...O&amp;M'!$D$73</f>
        <v>72465.539602537086</v>
      </c>
      <c r="U19" s="234">
        <f>'18...O&amp;M'!$C$23</f>
        <v>48139.198141632231</v>
      </c>
      <c r="V19" s="280">
        <f>'18...O&amp;M'!$B$96</f>
        <v>709500</v>
      </c>
      <c r="W19" s="234"/>
    </row>
    <row r="20" spans="1:23" s="159" customFormat="1" ht="15" customHeight="1" x14ac:dyDescent="0.25">
      <c r="A20" s="279">
        <f t="shared" si="8"/>
        <v>5</v>
      </c>
      <c r="B20" s="46">
        <f t="shared" si="3"/>
        <v>2023</v>
      </c>
      <c r="C20" s="46" t="s">
        <v>608</v>
      </c>
      <c r="D20" s="291">
        <f t="shared" si="0"/>
        <v>18445609.69222907</v>
      </c>
      <c r="E20" s="235">
        <f t="shared" si="4"/>
        <v>20723718.006496392</v>
      </c>
      <c r="F20" s="293">
        <f t="shared" si="5"/>
        <v>15542766.618304633</v>
      </c>
      <c r="G20" s="366"/>
      <c r="H20" s="233">
        <f t="shared" si="6"/>
        <v>9440300.8106128108</v>
      </c>
      <c r="I20" s="233">
        <f>(1/19)*I$67</f>
        <v>23083.163786542904</v>
      </c>
      <c r="J20" s="233"/>
      <c r="K20" s="233">
        <f t="shared" si="7"/>
        <v>4398873.1256724121</v>
      </c>
      <c r="L20" s="160"/>
      <c r="M20" s="233">
        <f t="shared" si="1"/>
        <v>541111.38991450088</v>
      </c>
      <c r="N20" s="233">
        <f>(0.05)*N$67</f>
        <v>324666.83394870057</v>
      </c>
      <c r="O20" s="233">
        <f t="shared" si="2"/>
        <v>2029167.7121793781</v>
      </c>
      <c r="P20" s="233">
        <f t="shared" si="2"/>
        <v>405833.54243587569</v>
      </c>
      <c r="Q20" s="233">
        <f t="shared" si="2"/>
        <v>270555.69495725044</v>
      </c>
      <c r="R20" s="234"/>
      <c r="S20" s="234">
        <f>'18...O&amp;M'!$D$55</f>
        <v>181912.68097743476</v>
      </c>
      <c r="T20" s="234">
        <f>'18...O&amp;M'!$D$73</f>
        <v>72465.539602537086</v>
      </c>
      <c r="U20" s="234">
        <f>'18...O&amp;M'!$C$23</f>
        <v>48139.198141632231</v>
      </c>
      <c r="V20" s="280">
        <f>'18...O&amp;M'!$B$96</f>
        <v>709500</v>
      </c>
      <c r="W20" s="234"/>
    </row>
    <row r="21" spans="1:23" s="159" customFormat="1" ht="15" customHeight="1" x14ac:dyDescent="0.25">
      <c r="A21" s="279">
        <f t="shared" si="8"/>
        <v>6</v>
      </c>
      <c r="B21" s="46">
        <f t="shared" si="3"/>
        <v>2024</v>
      </c>
      <c r="C21" s="46" t="s">
        <v>608</v>
      </c>
      <c r="D21" s="291">
        <f t="shared" si="0"/>
        <v>18327134.286449153</v>
      </c>
      <c r="E21" s="235">
        <f t="shared" si="4"/>
        <v>21075804.103519585</v>
      </c>
      <c r="F21" s="293">
        <f t="shared" si="5"/>
        <v>14923027.366812261</v>
      </c>
      <c r="G21" s="366"/>
      <c r="H21" s="233">
        <f t="shared" si="6"/>
        <v>9440300.8106128108</v>
      </c>
      <c r="I21" s="233">
        <f t="shared" ref="I21:I38" si="9">(1/19)*I$67</f>
        <v>23083.163786542904</v>
      </c>
      <c r="J21" s="160"/>
      <c r="K21" s="233">
        <f t="shared" si="7"/>
        <v>4398873.1256724121</v>
      </c>
      <c r="L21" s="160"/>
      <c r="M21" s="233">
        <f t="shared" si="1"/>
        <v>541111.38991450088</v>
      </c>
      <c r="N21" s="233">
        <f t="shared" ref="N21:N26" si="10">(0.025)*N$67</f>
        <v>162333.41697435029</v>
      </c>
      <c r="O21" s="233">
        <f t="shared" si="2"/>
        <v>2029167.7121793781</v>
      </c>
      <c r="P21" s="233">
        <f t="shared" si="2"/>
        <v>405833.54243587569</v>
      </c>
      <c r="Q21" s="233">
        <f t="shared" si="2"/>
        <v>270555.69495725044</v>
      </c>
      <c r="R21" s="234">
        <f>'14...Reveg'!$C$39</f>
        <v>43858.011194431521</v>
      </c>
      <c r="S21" s="234">
        <f>'18...O&amp;M'!$D$55</f>
        <v>181912.68097743476</v>
      </c>
      <c r="T21" s="234">
        <f>'18...O&amp;M'!$D$73</f>
        <v>72465.539602537086</v>
      </c>
      <c r="U21" s="234">
        <f>'18...O&amp;M'!$C$23</f>
        <v>48139.198141632231</v>
      </c>
      <c r="V21" s="280">
        <f>'18...O&amp;M'!$B$96</f>
        <v>709500</v>
      </c>
      <c r="W21" s="234"/>
    </row>
    <row r="22" spans="1:23" s="159" customFormat="1" ht="15" customHeight="1" x14ac:dyDescent="0.25">
      <c r="A22" s="279">
        <f t="shared" si="8"/>
        <v>7</v>
      </c>
      <c r="B22" s="46">
        <f t="shared" si="3"/>
        <v>2025</v>
      </c>
      <c r="C22" s="46" t="s">
        <v>608</v>
      </c>
      <c r="D22" s="291">
        <f t="shared" si="0"/>
        <v>18327134.286449153</v>
      </c>
      <c r="E22" s="235">
        <f t="shared" si="4"/>
        <v>21572430.827206533</v>
      </c>
      <c r="F22" s="293">
        <f t="shared" si="5"/>
        <v>14420622.15233618</v>
      </c>
      <c r="G22" s="366"/>
      <c r="H22" s="233">
        <f t="shared" si="6"/>
        <v>9440300.8106128108</v>
      </c>
      <c r="I22" s="233">
        <f t="shared" si="9"/>
        <v>23083.163786542904</v>
      </c>
      <c r="J22" s="160"/>
      <c r="K22" s="233">
        <f t="shared" si="7"/>
        <v>4398873.1256724121</v>
      </c>
      <c r="L22" s="160"/>
      <c r="M22" s="233">
        <f t="shared" si="1"/>
        <v>541111.38991450088</v>
      </c>
      <c r="N22" s="233">
        <f t="shared" si="10"/>
        <v>162333.41697435029</v>
      </c>
      <c r="O22" s="233">
        <f t="shared" si="2"/>
        <v>2029167.7121793781</v>
      </c>
      <c r="P22" s="233">
        <f t="shared" si="2"/>
        <v>405833.54243587569</v>
      </c>
      <c r="Q22" s="233">
        <f t="shared" si="2"/>
        <v>270555.69495725044</v>
      </c>
      <c r="R22" s="234">
        <f>'14...Reveg'!$C$39</f>
        <v>43858.011194431521</v>
      </c>
      <c r="S22" s="234">
        <f>'18...O&amp;M'!$D$55</f>
        <v>181912.68097743476</v>
      </c>
      <c r="T22" s="234">
        <f>'18...O&amp;M'!$D$73</f>
        <v>72465.539602537086</v>
      </c>
      <c r="U22" s="234">
        <f>'18...O&amp;M'!$C$23</f>
        <v>48139.198141632231</v>
      </c>
      <c r="V22" s="280">
        <f>'18...O&amp;M'!$B$96</f>
        <v>709500</v>
      </c>
      <c r="W22" s="234"/>
    </row>
    <row r="23" spans="1:23" s="159" customFormat="1" ht="15" customHeight="1" x14ac:dyDescent="0.25">
      <c r="A23" s="279">
        <f t="shared" si="8"/>
        <v>8</v>
      </c>
      <c r="B23" s="46">
        <f t="shared" si="3"/>
        <v>2026</v>
      </c>
      <c r="C23" s="46" t="s">
        <v>608</v>
      </c>
      <c r="D23" s="291">
        <f t="shared" si="0"/>
        <v>18327134.286449153</v>
      </c>
      <c r="E23" s="266">
        <f t="shared" si="4"/>
        <v>22080759.979966585</v>
      </c>
      <c r="F23" s="293">
        <f t="shared" si="5"/>
        <v>13935131.133172374</v>
      </c>
      <c r="G23" s="366"/>
      <c r="H23" s="233">
        <f t="shared" si="6"/>
        <v>9440300.8106128108</v>
      </c>
      <c r="I23" s="233">
        <f t="shared" si="9"/>
        <v>23083.163786542904</v>
      </c>
      <c r="J23" s="234"/>
      <c r="K23" s="233">
        <f t="shared" si="7"/>
        <v>4398873.1256724121</v>
      </c>
      <c r="L23" s="160"/>
      <c r="M23" s="233">
        <f t="shared" si="1"/>
        <v>541111.38991450088</v>
      </c>
      <c r="N23" s="233">
        <f t="shared" si="10"/>
        <v>162333.41697435029</v>
      </c>
      <c r="O23" s="233">
        <f t="shared" si="2"/>
        <v>2029167.7121793781</v>
      </c>
      <c r="P23" s="233">
        <f t="shared" si="2"/>
        <v>405833.54243587569</v>
      </c>
      <c r="Q23" s="233">
        <f t="shared" si="2"/>
        <v>270555.69495725044</v>
      </c>
      <c r="R23" s="234">
        <f>'14...Reveg'!$C$39</f>
        <v>43858.011194431521</v>
      </c>
      <c r="S23" s="234">
        <f>'18...O&amp;M'!$D$55</f>
        <v>181912.68097743476</v>
      </c>
      <c r="T23" s="234">
        <f>'18...O&amp;M'!$D$73</f>
        <v>72465.539602537086</v>
      </c>
      <c r="U23" s="234">
        <f>'18...O&amp;M'!$C$23</f>
        <v>48139.198141632231</v>
      </c>
      <c r="V23" s="280">
        <f>'18...O&amp;M'!$B$96</f>
        <v>709500</v>
      </c>
      <c r="W23" s="234"/>
    </row>
    <row r="24" spans="1:23" s="159" customFormat="1" ht="15" customHeight="1" x14ac:dyDescent="0.25">
      <c r="A24" s="279">
        <f t="shared" si="8"/>
        <v>9</v>
      </c>
      <c r="B24" s="46">
        <f t="shared" si="3"/>
        <v>2027</v>
      </c>
      <c r="C24" s="46" t="s">
        <v>608</v>
      </c>
      <c r="D24" s="291">
        <f t="shared" si="0"/>
        <v>18327134.286449153</v>
      </c>
      <c r="E24" s="235">
        <f t="shared" si="4"/>
        <v>22601067.31588158</v>
      </c>
      <c r="F24" s="293">
        <f t="shared" si="5"/>
        <v>13465984.868569003</v>
      </c>
      <c r="G24" s="366"/>
      <c r="H24" s="233">
        <f t="shared" si="6"/>
        <v>9440300.8106128108</v>
      </c>
      <c r="I24" s="233">
        <f t="shared" si="9"/>
        <v>23083.163786542904</v>
      </c>
      <c r="J24" s="234"/>
      <c r="K24" s="233">
        <f t="shared" si="7"/>
        <v>4398873.1256724121</v>
      </c>
      <c r="L24" s="160"/>
      <c r="M24" s="233">
        <f t="shared" si="1"/>
        <v>541111.38991450088</v>
      </c>
      <c r="N24" s="233">
        <f t="shared" si="10"/>
        <v>162333.41697435029</v>
      </c>
      <c r="O24" s="233">
        <f t="shared" si="2"/>
        <v>2029167.7121793781</v>
      </c>
      <c r="P24" s="233">
        <f t="shared" si="2"/>
        <v>405833.54243587569</v>
      </c>
      <c r="Q24" s="233">
        <f t="shared" si="2"/>
        <v>270555.69495725044</v>
      </c>
      <c r="R24" s="234">
        <f>'14...Reveg'!$C$39</f>
        <v>43858.011194431521</v>
      </c>
      <c r="S24" s="234">
        <f>'18...O&amp;M'!$D$55</f>
        <v>181912.68097743476</v>
      </c>
      <c r="T24" s="234">
        <f>'18...O&amp;M'!$D$73</f>
        <v>72465.539602537086</v>
      </c>
      <c r="U24" s="234">
        <f>'18...O&amp;M'!$C$23</f>
        <v>48139.198141632231</v>
      </c>
      <c r="V24" s="280">
        <f>'18...O&amp;M'!$B$96</f>
        <v>709500</v>
      </c>
      <c r="W24" s="234"/>
    </row>
    <row r="25" spans="1:23" s="159" customFormat="1" ht="15" customHeight="1" x14ac:dyDescent="0.25">
      <c r="A25" s="279">
        <f t="shared" si="8"/>
        <v>10</v>
      </c>
      <c r="B25" s="46">
        <f t="shared" si="3"/>
        <v>2028</v>
      </c>
      <c r="C25" s="46" t="s">
        <v>608</v>
      </c>
      <c r="D25" s="291">
        <f t="shared" si="0"/>
        <v>18327134.286449153</v>
      </c>
      <c r="E25" s="235">
        <f t="shared" si="4"/>
        <v>23133635.086856455</v>
      </c>
      <c r="F25" s="293">
        <f t="shared" si="5"/>
        <v>13012633.088817479</v>
      </c>
      <c r="G25" s="366"/>
      <c r="H25" s="233">
        <f t="shared" si="6"/>
        <v>9440300.8106128108</v>
      </c>
      <c r="I25" s="233">
        <f t="shared" si="9"/>
        <v>23083.163786542904</v>
      </c>
      <c r="J25" s="234"/>
      <c r="K25" s="233">
        <f t="shared" si="7"/>
        <v>4398873.1256724121</v>
      </c>
      <c r="L25" s="160"/>
      <c r="M25" s="233">
        <f t="shared" si="1"/>
        <v>541111.38991450088</v>
      </c>
      <c r="N25" s="233">
        <f t="shared" si="10"/>
        <v>162333.41697435029</v>
      </c>
      <c r="O25" s="233">
        <f t="shared" si="2"/>
        <v>2029167.7121793781</v>
      </c>
      <c r="P25" s="233">
        <f t="shared" si="2"/>
        <v>405833.54243587569</v>
      </c>
      <c r="Q25" s="233">
        <f t="shared" si="2"/>
        <v>270555.69495725044</v>
      </c>
      <c r="R25" s="234">
        <f>'14...Reveg'!$C$39</f>
        <v>43858.011194431521</v>
      </c>
      <c r="S25" s="234">
        <f>'18...O&amp;M'!$D$55</f>
        <v>181912.68097743476</v>
      </c>
      <c r="T25" s="234">
        <f>'18...O&amp;M'!$D$73</f>
        <v>72465.539602537086</v>
      </c>
      <c r="U25" s="234">
        <f>'18...O&amp;M'!$C$23</f>
        <v>48139.198141632231</v>
      </c>
      <c r="V25" s="280">
        <f>'18...O&amp;M'!$B$96</f>
        <v>709500</v>
      </c>
      <c r="W25" s="234"/>
    </row>
    <row r="26" spans="1:23" s="159" customFormat="1" ht="15" customHeight="1" x14ac:dyDescent="0.25">
      <c r="A26" s="279">
        <f t="shared" si="8"/>
        <v>11</v>
      </c>
      <c r="B26" s="46">
        <f t="shared" si="3"/>
        <v>2029</v>
      </c>
      <c r="C26" s="46" t="s">
        <v>608</v>
      </c>
      <c r="D26" s="291">
        <f t="shared" si="0"/>
        <v>18305205.280851938</v>
      </c>
      <c r="E26" s="235">
        <f t="shared" si="4"/>
        <v>23650419.80719243</v>
      </c>
      <c r="F26" s="293">
        <f t="shared" si="5"/>
        <v>12559498.203463024</v>
      </c>
      <c r="G26" s="367">
        <f>(1/4)*G$67</f>
        <v>0</v>
      </c>
      <c r="H26" s="233">
        <f t="shared" si="6"/>
        <v>9440300.8106128108</v>
      </c>
      <c r="I26" s="233">
        <f t="shared" si="9"/>
        <v>23083.163786542904</v>
      </c>
      <c r="J26" s="162"/>
      <c r="K26" s="233">
        <f t="shared" si="7"/>
        <v>4398873.1256724121</v>
      </c>
      <c r="L26" s="160"/>
      <c r="M26" s="233">
        <f t="shared" si="1"/>
        <v>541111.38991450088</v>
      </c>
      <c r="N26" s="233">
        <f t="shared" si="10"/>
        <v>162333.41697435029</v>
      </c>
      <c r="O26" s="233">
        <f t="shared" si="2"/>
        <v>2029167.7121793781</v>
      </c>
      <c r="P26" s="233">
        <f t="shared" si="2"/>
        <v>405833.54243587569</v>
      </c>
      <c r="Q26" s="233">
        <f t="shared" si="2"/>
        <v>270555.69495725044</v>
      </c>
      <c r="R26" s="234">
        <f>'14...Reveg'!$D$39</f>
        <v>21929.005597215761</v>
      </c>
      <c r="S26" s="234">
        <f>'18...O&amp;M'!$D$55</f>
        <v>181912.68097743476</v>
      </c>
      <c r="T26" s="234">
        <f>'18...O&amp;M'!$D$73</f>
        <v>72465.539602537086</v>
      </c>
      <c r="U26" s="234">
        <f>'18...O&amp;M'!$C$23</f>
        <v>48139.198141632231</v>
      </c>
      <c r="V26" s="280">
        <f>'18...O&amp;M'!$B$96</f>
        <v>709500</v>
      </c>
      <c r="W26" s="234"/>
    </row>
    <row r="27" spans="1:23" s="159" customFormat="1" ht="15" customHeight="1" x14ac:dyDescent="0.25">
      <c r="A27" s="279">
        <f t="shared" si="8"/>
        <v>12</v>
      </c>
      <c r="B27" s="46">
        <f t="shared" si="3"/>
        <v>2030</v>
      </c>
      <c r="C27" s="46" t="s">
        <v>608</v>
      </c>
      <c r="D27" s="291">
        <f t="shared" si="0"/>
        <v>18240271.914062195</v>
      </c>
      <c r="E27" s="235">
        <f t="shared" si="4"/>
        <v>24121843.229426045</v>
      </c>
      <c r="F27" s="293">
        <f t="shared" si="5"/>
        <v>12093612.668925188</v>
      </c>
      <c r="G27" s="367">
        <f>(1/4)*G$67</f>
        <v>0</v>
      </c>
      <c r="H27" s="233">
        <f t="shared" si="6"/>
        <v>9440300.8106128108</v>
      </c>
      <c r="I27" s="233">
        <f t="shared" si="9"/>
        <v>23083.163786542904</v>
      </c>
      <c r="J27" s="162"/>
      <c r="K27" s="233">
        <f t="shared" si="7"/>
        <v>4398873.1256724121</v>
      </c>
      <c r="L27" s="160"/>
      <c r="M27" s="233">
        <f t="shared" si="1"/>
        <v>541111.38991450088</v>
      </c>
      <c r="N27" s="233">
        <f t="shared" ref="N27:N33" si="11">(0.015)*N$67</f>
        <v>97400.050184610154</v>
      </c>
      <c r="O27" s="233">
        <f t="shared" si="2"/>
        <v>2029167.7121793781</v>
      </c>
      <c r="P27" s="233">
        <f t="shared" si="2"/>
        <v>405833.54243587569</v>
      </c>
      <c r="Q27" s="233">
        <f t="shared" si="2"/>
        <v>270555.69495725044</v>
      </c>
      <c r="R27" s="234">
        <f>'14...Reveg'!$D$39</f>
        <v>21929.005597215761</v>
      </c>
      <c r="S27" s="234">
        <f>'18...O&amp;M'!$D$55</f>
        <v>181912.68097743476</v>
      </c>
      <c r="T27" s="234">
        <f>'18...O&amp;M'!$D$73</f>
        <v>72465.539602537086</v>
      </c>
      <c r="U27" s="234">
        <f>'18...O&amp;M'!$C$23</f>
        <v>48139.198141632231</v>
      </c>
      <c r="V27" s="280">
        <f>'18...O&amp;M'!$B$96</f>
        <v>709500</v>
      </c>
      <c r="W27" s="234"/>
    </row>
    <row r="28" spans="1:23" s="159" customFormat="1" ht="15" customHeight="1" x14ac:dyDescent="0.25">
      <c r="A28" s="279">
        <f t="shared" si="8"/>
        <v>13</v>
      </c>
      <c r="B28" s="46">
        <f t="shared" si="3"/>
        <v>2031</v>
      </c>
      <c r="C28" s="46" t="s">
        <v>608</v>
      </c>
      <c r="D28" s="291">
        <f t="shared" si="0"/>
        <v>18240271.914062195</v>
      </c>
      <c r="E28" s="235">
        <f t="shared" si="4"/>
        <v>24690246.309729852</v>
      </c>
      <c r="F28" s="293">
        <f t="shared" si="5"/>
        <v>11686463.7763195</v>
      </c>
      <c r="G28" s="367">
        <f>(1/4)*G$67</f>
        <v>0</v>
      </c>
      <c r="H28" s="233">
        <f t="shared" si="6"/>
        <v>9440300.8106128108</v>
      </c>
      <c r="I28" s="233">
        <f t="shared" si="9"/>
        <v>23083.163786542904</v>
      </c>
      <c r="J28" s="162"/>
      <c r="K28" s="233">
        <f t="shared" si="7"/>
        <v>4398873.1256724121</v>
      </c>
      <c r="L28" s="160"/>
      <c r="M28" s="233">
        <f t="shared" si="1"/>
        <v>541111.38991450088</v>
      </c>
      <c r="N28" s="233">
        <f t="shared" si="11"/>
        <v>97400.050184610154</v>
      </c>
      <c r="O28" s="233">
        <f t="shared" si="2"/>
        <v>2029167.7121793781</v>
      </c>
      <c r="P28" s="233">
        <f t="shared" si="2"/>
        <v>405833.54243587569</v>
      </c>
      <c r="Q28" s="233">
        <f t="shared" si="2"/>
        <v>270555.69495725044</v>
      </c>
      <c r="R28" s="234">
        <f>'14...Reveg'!$D$39</f>
        <v>21929.005597215761</v>
      </c>
      <c r="S28" s="234">
        <f>'18...O&amp;M'!$D$55</f>
        <v>181912.68097743476</v>
      </c>
      <c r="T28" s="234">
        <f>'18...O&amp;M'!$D$73</f>
        <v>72465.539602537086</v>
      </c>
      <c r="U28" s="234">
        <f>'18...O&amp;M'!$C$23</f>
        <v>48139.198141632231</v>
      </c>
      <c r="V28" s="280">
        <f>'18...O&amp;M'!$B$96</f>
        <v>709500</v>
      </c>
      <c r="W28" s="234"/>
    </row>
    <row r="29" spans="1:23" s="159" customFormat="1" ht="15" customHeight="1" x14ac:dyDescent="0.25">
      <c r="A29" s="279">
        <f t="shared" si="8"/>
        <v>14</v>
      </c>
      <c r="B29" s="46">
        <f t="shared" si="3"/>
        <v>2032</v>
      </c>
      <c r="C29" s="46" t="s">
        <v>608</v>
      </c>
      <c r="D29" s="291">
        <f t="shared" si="0"/>
        <v>18240271.914062195</v>
      </c>
      <c r="E29" s="235">
        <f t="shared" si="4"/>
        <v>25272043.145171933</v>
      </c>
      <c r="F29" s="293">
        <f t="shared" si="5"/>
        <v>11293022.137723686</v>
      </c>
      <c r="G29" s="367">
        <f>(1/4)*G$67</f>
        <v>0</v>
      </c>
      <c r="H29" s="233">
        <f t="shared" si="6"/>
        <v>9440300.8106128108</v>
      </c>
      <c r="I29" s="233">
        <f t="shared" si="9"/>
        <v>23083.163786542904</v>
      </c>
      <c r="J29" s="162"/>
      <c r="K29" s="233">
        <f t="shared" si="7"/>
        <v>4398873.1256724121</v>
      </c>
      <c r="L29" s="233"/>
      <c r="M29" s="233">
        <f t="shared" si="1"/>
        <v>541111.38991450088</v>
      </c>
      <c r="N29" s="233">
        <f t="shared" si="11"/>
        <v>97400.050184610154</v>
      </c>
      <c r="O29" s="233">
        <f t="shared" si="2"/>
        <v>2029167.7121793781</v>
      </c>
      <c r="P29" s="233">
        <f t="shared" si="2"/>
        <v>405833.54243587569</v>
      </c>
      <c r="Q29" s="233">
        <f t="shared" si="2"/>
        <v>270555.69495725044</v>
      </c>
      <c r="R29" s="234">
        <f>'14...Reveg'!$D$39</f>
        <v>21929.005597215761</v>
      </c>
      <c r="S29" s="234">
        <f>'18...O&amp;M'!$D$55</f>
        <v>181912.68097743476</v>
      </c>
      <c r="T29" s="234">
        <f>'18...O&amp;M'!$D$73</f>
        <v>72465.539602537086</v>
      </c>
      <c r="U29" s="234">
        <f>'18...O&amp;M'!$C$23</f>
        <v>48139.198141632231</v>
      </c>
      <c r="V29" s="280">
        <f>'18...O&amp;M'!$B$96</f>
        <v>709500</v>
      </c>
      <c r="W29" s="234"/>
    </row>
    <row r="30" spans="1:23" s="159" customFormat="1" ht="15" customHeight="1" x14ac:dyDescent="0.25">
      <c r="A30" s="279">
        <f t="shared" si="8"/>
        <v>15</v>
      </c>
      <c r="B30" s="46">
        <f t="shared" si="3"/>
        <v>2033</v>
      </c>
      <c r="C30" s="46" t="s">
        <v>608</v>
      </c>
      <c r="D30" s="291">
        <f t="shared" si="0"/>
        <v>19213815.914062195</v>
      </c>
      <c r="E30" s="266">
        <f t="shared" si="4"/>
        <v>27248186.517415557</v>
      </c>
      <c r="F30" s="293">
        <f t="shared" si="5"/>
        <v>11495280.125683926</v>
      </c>
      <c r="G30" s="366"/>
      <c r="H30" s="233">
        <f t="shared" si="6"/>
        <v>9440300.8106128108</v>
      </c>
      <c r="I30" s="233">
        <f t="shared" si="9"/>
        <v>23083.163786542904</v>
      </c>
      <c r="J30" s="234"/>
      <c r="K30" s="233">
        <f t="shared" si="7"/>
        <v>4398873.1256724121</v>
      </c>
      <c r="L30" s="160"/>
      <c r="M30" s="233">
        <f t="shared" si="1"/>
        <v>541111.38991450088</v>
      </c>
      <c r="N30" s="233">
        <f t="shared" si="11"/>
        <v>97400.050184610154</v>
      </c>
      <c r="O30" s="233">
        <f t="shared" si="2"/>
        <v>2029167.7121793781</v>
      </c>
      <c r="P30" s="233">
        <f t="shared" si="2"/>
        <v>405833.54243587569</v>
      </c>
      <c r="Q30" s="233">
        <f t="shared" si="2"/>
        <v>270555.69495725044</v>
      </c>
      <c r="R30" s="234">
        <f>'14...Reveg'!$D$39</f>
        <v>21929.005597215761</v>
      </c>
      <c r="S30" s="234">
        <f>'18...O&amp;M'!$D$55</f>
        <v>181912.68097743476</v>
      </c>
      <c r="T30" s="234">
        <f>'18...O&amp;M'!$D$73</f>
        <v>72465.539602537086</v>
      </c>
      <c r="U30" s="234">
        <f>'18...O&amp;M'!$C$23</f>
        <v>48139.198141632231</v>
      </c>
      <c r="V30" s="280">
        <f>'18...O&amp;M'!$B$96+'18...O&amp;M'!B113</f>
        <v>1683044</v>
      </c>
      <c r="W30" s="234"/>
    </row>
    <row r="31" spans="1:23" s="159" customFormat="1" ht="15" customHeight="1" x14ac:dyDescent="0.25">
      <c r="A31" s="279">
        <f t="shared" si="8"/>
        <v>16</v>
      </c>
      <c r="B31" s="46">
        <f t="shared" si="3"/>
        <v>2034</v>
      </c>
      <c r="C31" s="46" t="s">
        <v>608</v>
      </c>
      <c r="D31" s="291">
        <f t="shared" si="0"/>
        <v>18240271.914062195</v>
      </c>
      <c r="E31" s="266">
        <f t="shared" si="4"/>
        <v>26477087.951235645</v>
      </c>
      <c r="F31" s="293">
        <f t="shared" si="5"/>
        <v>10545430.260952087</v>
      </c>
      <c r="G31" s="366"/>
      <c r="H31" s="233">
        <f t="shared" si="6"/>
        <v>9440300.8106128108</v>
      </c>
      <c r="I31" s="233">
        <f t="shared" si="9"/>
        <v>23083.163786542904</v>
      </c>
      <c r="J31" s="234"/>
      <c r="K31" s="233">
        <f t="shared" si="7"/>
        <v>4398873.1256724121</v>
      </c>
      <c r="L31" s="160"/>
      <c r="M31" s="233">
        <f t="shared" si="1"/>
        <v>541111.38991450088</v>
      </c>
      <c r="N31" s="233">
        <f t="shared" si="11"/>
        <v>97400.050184610154</v>
      </c>
      <c r="O31" s="233">
        <f t="shared" si="2"/>
        <v>2029167.7121793781</v>
      </c>
      <c r="P31" s="233">
        <f t="shared" si="2"/>
        <v>405833.54243587569</v>
      </c>
      <c r="Q31" s="233">
        <f t="shared" si="2"/>
        <v>270555.69495725044</v>
      </c>
      <c r="R31" s="234">
        <f>'14...Reveg'!$D$39</f>
        <v>21929.005597215761</v>
      </c>
      <c r="S31" s="234">
        <f>'18...O&amp;M'!$D$55</f>
        <v>181912.68097743476</v>
      </c>
      <c r="T31" s="234">
        <f>'18...O&amp;M'!$D$73</f>
        <v>72465.539602537086</v>
      </c>
      <c r="U31" s="234">
        <f>'18...O&amp;M'!$C$23</f>
        <v>48139.198141632231</v>
      </c>
      <c r="V31" s="280">
        <f>'18...O&amp;M'!$B$96</f>
        <v>709500</v>
      </c>
      <c r="W31" s="234"/>
    </row>
    <row r="32" spans="1:23" s="159" customFormat="1" ht="15" customHeight="1" x14ac:dyDescent="0.25">
      <c r="A32" s="279">
        <f t="shared" si="8"/>
        <v>17</v>
      </c>
      <c r="B32" s="46">
        <f t="shared" si="3"/>
        <v>2035</v>
      </c>
      <c r="C32" s="46" t="s">
        <v>608</v>
      </c>
      <c r="D32" s="291">
        <f t="shared" si="0"/>
        <v>18465469.686494637</v>
      </c>
      <c r="E32" s="266">
        <f t="shared" si="4"/>
        <v>27435583.457298435</v>
      </c>
      <c r="F32" s="293">
        <f t="shared" si="5"/>
        <v>10316215.762579607</v>
      </c>
      <c r="G32" s="366"/>
      <c r="H32" s="233">
        <f t="shared" si="6"/>
        <v>9440300.8106128108</v>
      </c>
      <c r="I32" s="233">
        <f t="shared" si="9"/>
        <v>23083.163786542904</v>
      </c>
      <c r="J32" s="234"/>
      <c r="K32" s="233">
        <f t="shared" si="7"/>
        <v>4398873.1256724121</v>
      </c>
      <c r="L32" s="160"/>
      <c r="M32" s="233">
        <f t="shared" si="1"/>
        <v>541111.38991450088</v>
      </c>
      <c r="N32" s="233">
        <f t="shared" si="11"/>
        <v>97400.050184610154</v>
      </c>
      <c r="O32" s="233">
        <f t="shared" si="2"/>
        <v>2029167.7121793781</v>
      </c>
      <c r="P32" s="233">
        <f t="shared" si="2"/>
        <v>405833.54243587569</v>
      </c>
      <c r="Q32" s="233">
        <f t="shared" si="2"/>
        <v>270555.69495725044</v>
      </c>
      <c r="R32" s="234">
        <f>'14...Reveg'!$D$39</f>
        <v>21929.005597215761</v>
      </c>
      <c r="S32" s="234">
        <f>'18...O&amp;M'!$D$55</f>
        <v>181912.68097743476</v>
      </c>
      <c r="T32" s="234">
        <f>'18...O&amp;M'!$D$73</f>
        <v>72465.539602537086</v>
      </c>
      <c r="U32" s="234">
        <f>'18...O&amp;M'!$C$23</f>
        <v>48139.198141632231</v>
      </c>
      <c r="V32" s="280">
        <f>'18...O&amp;M'!$B$96+'18...O&amp;M'!$B$102</f>
        <v>934697.77243244206</v>
      </c>
      <c r="W32" s="234"/>
    </row>
    <row r="33" spans="1:23" s="159" customFormat="1" ht="15" customHeight="1" x14ac:dyDescent="0.25">
      <c r="A33" s="279">
        <f t="shared" si="8"/>
        <v>18</v>
      </c>
      <c r="B33" s="46">
        <f t="shared" si="3"/>
        <v>2036</v>
      </c>
      <c r="C33" s="46" t="s">
        <v>608</v>
      </c>
      <c r="D33" s="291">
        <f t="shared" si="0"/>
        <v>18240271.914062195</v>
      </c>
      <c r="E33" s="266">
        <f t="shared" si="4"/>
        <v>27739592.812122766</v>
      </c>
      <c r="F33" s="293">
        <f t="shared" si="5"/>
        <v>9847328.5567311943</v>
      </c>
      <c r="G33" s="366"/>
      <c r="H33" s="233">
        <f t="shared" si="6"/>
        <v>9440300.8106128108</v>
      </c>
      <c r="I33" s="233">
        <f t="shared" si="9"/>
        <v>23083.163786542904</v>
      </c>
      <c r="J33" s="234"/>
      <c r="K33" s="233">
        <f t="shared" si="7"/>
        <v>4398873.1256724121</v>
      </c>
      <c r="L33" s="160"/>
      <c r="M33" s="233">
        <f t="shared" si="1"/>
        <v>541111.38991450088</v>
      </c>
      <c r="N33" s="233">
        <f t="shared" si="11"/>
        <v>97400.050184610154</v>
      </c>
      <c r="O33" s="233">
        <f t="shared" si="2"/>
        <v>2029167.7121793781</v>
      </c>
      <c r="P33" s="233">
        <f t="shared" si="2"/>
        <v>405833.54243587569</v>
      </c>
      <c r="Q33" s="233">
        <f t="shared" si="2"/>
        <v>270555.69495725044</v>
      </c>
      <c r="R33" s="234">
        <f>'14...Reveg'!$D$39</f>
        <v>21929.005597215761</v>
      </c>
      <c r="S33" s="234">
        <f>'18...O&amp;M'!$D$55</f>
        <v>181912.68097743476</v>
      </c>
      <c r="T33" s="234">
        <f>'18...O&amp;M'!$D$73</f>
        <v>72465.539602537086</v>
      </c>
      <c r="U33" s="234">
        <f>'18...O&amp;M'!$C$23</f>
        <v>48139.198141632231</v>
      </c>
      <c r="V33" s="280">
        <f>'18...O&amp;M'!$B$96</f>
        <v>709500</v>
      </c>
      <c r="W33" s="234"/>
    </row>
    <row r="34" spans="1:23" s="159" customFormat="1" ht="15" customHeight="1" x14ac:dyDescent="0.25">
      <c r="A34" s="279">
        <f t="shared" si="8"/>
        <v>19</v>
      </c>
      <c r="B34" s="46">
        <f t="shared" si="3"/>
        <v>2037</v>
      </c>
      <c r="C34" s="46" t="s">
        <v>608</v>
      </c>
      <c r="D34" s="291">
        <f t="shared" si="0"/>
        <v>18207805.230667327</v>
      </c>
      <c r="E34" s="266">
        <f t="shared" si="4"/>
        <v>28342705.522014238</v>
      </c>
      <c r="F34" s="293">
        <f t="shared" si="5"/>
        <v>9498866.4455621839</v>
      </c>
      <c r="G34" s="367"/>
      <c r="H34" s="233">
        <f t="shared" si="6"/>
        <v>9440300.8106128108</v>
      </c>
      <c r="I34" s="233">
        <f t="shared" si="9"/>
        <v>23083.163786542904</v>
      </c>
      <c r="J34" s="234"/>
      <c r="K34" s="233">
        <f t="shared" si="7"/>
        <v>4398873.1256724121</v>
      </c>
      <c r="L34" s="160"/>
      <c r="M34" s="233">
        <f t="shared" si="1"/>
        <v>541111.38991450088</v>
      </c>
      <c r="N34" s="233">
        <f>(0.01)*N$67</f>
        <v>64933.36678974011</v>
      </c>
      <c r="O34" s="233">
        <f>(1/24)*O$67</f>
        <v>2029167.7121793781</v>
      </c>
      <c r="P34" s="233">
        <f t="shared" si="2"/>
        <v>405833.54243587569</v>
      </c>
      <c r="Q34" s="233">
        <f t="shared" si="2"/>
        <v>270555.69495725044</v>
      </c>
      <c r="R34" s="234">
        <f>'14...Reveg'!$D$39</f>
        <v>21929.005597215761</v>
      </c>
      <c r="S34" s="234">
        <f>'18...O&amp;M'!$D$55</f>
        <v>181912.68097743476</v>
      </c>
      <c r="T34" s="234">
        <f>'18...O&amp;M'!$D$73</f>
        <v>72465.539602537086</v>
      </c>
      <c r="U34" s="234">
        <f>'18...O&amp;M'!$C$23</f>
        <v>48139.198141632231</v>
      </c>
      <c r="V34" s="280">
        <f>'18...O&amp;M'!$B$96</f>
        <v>709500</v>
      </c>
      <c r="W34" s="234"/>
    </row>
    <row r="35" spans="1:23" s="159" customFormat="1" ht="15" customHeight="1" x14ac:dyDescent="0.25">
      <c r="A35" s="281">
        <f t="shared" si="8"/>
        <v>20</v>
      </c>
      <c r="B35" s="57">
        <f t="shared" si="3"/>
        <v>2038</v>
      </c>
      <c r="C35" s="46" t="s">
        <v>608</v>
      </c>
      <c r="D35" s="291">
        <f t="shared" si="0"/>
        <v>18207805.230667327</v>
      </c>
      <c r="E35" s="266">
        <f t="shared" si="4"/>
        <v>29010568.295585528</v>
      </c>
      <c r="F35" s="293">
        <f t="shared" si="5"/>
        <v>9179073.4225676954</v>
      </c>
      <c r="G35" s="367"/>
      <c r="H35" s="233">
        <f t="shared" si="6"/>
        <v>9440300.8106128108</v>
      </c>
      <c r="I35" s="233">
        <f t="shared" si="9"/>
        <v>23083.163786542904</v>
      </c>
      <c r="J35" s="234"/>
      <c r="K35" s="233">
        <f t="shared" si="7"/>
        <v>4398873.1256724121</v>
      </c>
      <c r="L35" s="160"/>
      <c r="M35" s="233">
        <f t="shared" si="1"/>
        <v>541111.38991450088</v>
      </c>
      <c r="N35" s="233">
        <f>(0.01)*N$67</f>
        <v>64933.36678974011</v>
      </c>
      <c r="O35" s="233">
        <f t="shared" si="2"/>
        <v>2029167.7121793781</v>
      </c>
      <c r="P35" s="233">
        <f>(1/24)*P$67</f>
        <v>405833.54243587569</v>
      </c>
      <c r="Q35" s="233">
        <f t="shared" si="2"/>
        <v>270555.69495725044</v>
      </c>
      <c r="R35" s="234">
        <f>'14...Reveg'!$D$39</f>
        <v>21929.005597215761</v>
      </c>
      <c r="S35" s="234">
        <f>'18...O&amp;M'!$D$55</f>
        <v>181912.68097743476</v>
      </c>
      <c r="T35" s="234">
        <f>'18...O&amp;M'!$D$73</f>
        <v>72465.539602537086</v>
      </c>
      <c r="U35" s="234">
        <f>'18...O&amp;M'!$C$23</f>
        <v>48139.198141632231</v>
      </c>
      <c r="V35" s="280">
        <f>'18...O&amp;M'!$B$96</f>
        <v>709500</v>
      </c>
      <c r="W35" s="234"/>
    </row>
    <row r="36" spans="1:23" s="159" customFormat="1" ht="15" customHeight="1" x14ac:dyDescent="0.25">
      <c r="A36" s="279">
        <f t="shared" si="8"/>
        <v>21</v>
      </c>
      <c r="B36" s="46">
        <f t="shared" si="3"/>
        <v>2039</v>
      </c>
      <c r="C36" s="46" t="s">
        <v>608</v>
      </c>
      <c r="D36" s="291">
        <f t="shared" si="0"/>
        <v>18207805.230667327</v>
      </c>
      <c r="E36" s="266">
        <f t="shared" si="4"/>
        <v>29694168.475876026</v>
      </c>
      <c r="F36" s="293">
        <f t="shared" si="5"/>
        <v>8870046.692387417</v>
      </c>
      <c r="G36" s="367"/>
      <c r="H36" s="233">
        <f t="shared" si="6"/>
        <v>9440300.8106128108</v>
      </c>
      <c r="I36" s="233">
        <f t="shared" si="9"/>
        <v>23083.163786542904</v>
      </c>
      <c r="J36" s="234"/>
      <c r="K36" s="233">
        <f t="shared" si="7"/>
        <v>4398873.1256724121</v>
      </c>
      <c r="L36" s="160"/>
      <c r="M36" s="233">
        <f t="shared" si="1"/>
        <v>541111.38991450088</v>
      </c>
      <c r="N36" s="233">
        <f>(0.01)*N$67</f>
        <v>64933.36678974011</v>
      </c>
      <c r="O36" s="233">
        <f t="shared" si="2"/>
        <v>2029167.7121793781</v>
      </c>
      <c r="P36" s="233">
        <f t="shared" si="2"/>
        <v>405833.54243587569</v>
      </c>
      <c r="Q36" s="233">
        <f t="shared" si="2"/>
        <v>270555.69495725044</v>
      </c>
      <c r="R36" s="234">
        <f>'14...Reveg'!$D$39</f>
        <v>21929.005597215761</v>
      </c>
      <c r="S36" s="234">
        <f>'18...O&amp;M'!$D$55</f>
        <v>181912.68097743476</v>
      </c>
      <c r="T36" s="234">
        <f>'18...O&amp;M'!$D$73</f>
        <v>72465.539602537086</v>
      </c>
      <c r="U36" s="234">
        <f>'18...O&amp;M'!$C$23</f>
        <v>48139.198141632231</v>
      </c>
      <c r="V36" s="280">
        <f>'18...O&amp;M'!$B$96</f>
        <v>709500</v>
      </c>
      <c r="W36" s="234"/>
    </row>
    <row r="37" spans="1:23" s="159" customFormat="1" ht="15" customHeight="1" x14ac:dyDescent="0.25">
      <c r="A37" s="279">
        <f t="shared" si="8"/>
        <v>22</v>
      </c>
      <c r="B37" s="46">
        <f t="shared" si="3"/>
        <v>2040</v>
      </c>
      <c r="C37" s="46" t="s">
        <v>608</v>
      </c>
      <c r="D37" s="291">
        <f t="shared" si="0"/>
        <v>18207805.230667327</v>
      </c>
      <c r="E37" s="266">
        <f t="shared" si="4"/>
        <v>30393876.896506097</v>
      </c>
      <c r="F37" s="293">
        <f t="shared" si="5"/>
        <v>8571423.7922637835</v>
      </c>
      <c r="G37" s="367"/>
      <c r="H37" s="233">
        <f t="shared" si="6"/>
        <v>9440300.8106128108</v>
      </c>
      <c r="I37" s="233">
        <f t="shared" si="9"/>
        <v>23083.163786542904</v>
      </c>
      <c r="J37" s="233"/>
      <c r="K37" s="233">
        <f t="shared" si="7"/>
        <v>4398873.1256724121</v>
      </c>
      <c r="L37" s="160"/>
      <c r="M37" s="233">
        <f t="shared" si="1"/>
        <v>541111.38991450088</v>
      </c>
      <c r="N37" s="233">
        <f>(0.01)*N$67</f>
        <v>64933.36678974011</v>
      </c>
      <c r="O37" s="233">
        <f t="shared" si="2"/>
        <v>2029167.7121793781</v>
      </c>
      <c r="P37" s="233">
        <f t="shared" si="2"/>
        <v>405833.54243587569</v>
      </c>
      <c r="Q37" s="233">
        <f>(1/24)*Q$67</f>
        <v>270555.69495725044</v>
      </c>
      <c r="R37" s="234">
        <f>'14...Reveg'!$D$39</f>
        <v>21929.005597215761</v>
      </c>
      <c r="S37" s="234">
        <f>'18...O&amp;M'!$D$55</f>
        <v>181912.68097743476</v>
      </c>
      <c r="T37" s="234">
        <f>'18...O&amp;M'!$D$73</f>
        <v>72465.539602537086</v>
      </c>
      <c r="U37" s="234">
        <f>'18...O&amp;M'!$C$23</f>
        <v>48139.198141632231</v>
      </c>
      <c r="V37" s="280">
        <f>'18...O&amp;M'!$B$96</f>
        <v>709500</v>
      </c>
      <c r="W37" s="234"/>
    </row>
    <row r="38" spans="1:23" s="159" customFormat="1" ht="15" customHeight="1" x14ac:dyDescent="0.25">
      <c r="A38" s="281">
        <f t="shared" si="8"/>
        <v>23</v>
      </c>
      <c r="B38" s="57">
        <f t="shared" si="3"/>
        <v>2041</v>
      </c>
      <c r="C38" s="46" t="s">
        <v>609</v>
      </c>
      <c r="D38" s="291">
        <f t="shared" si="0"/>
        <v>21422006.886759464</v>
      </c>
      <c r="E38" s="266">
        <f t="shared" si="4"/>
        <v>36601896.405515477</v>
      </c>
      <c r="F38" s="293">
        <f t="shared" si="5"/>
        <v>9745016.6609825063</v>
      </c>
      <c r="G38" s="367"/>
      <c r="H38" s="233">
        <f t="shared" si="6"/>
        <v>9440300.8106128108</v>
      </c>
      <c r="I38" s="233">
        <f t="shared" si="9"/>
        <v>23083.163786542904</v>
      </c>
      <c r="J38" s="233"/>
      <c r="K38" s="233">
        <f>(1/23)*K$67</f>
        <v>4398873.1256724121</v>
      </c>
      <c r="L38" s="233">
        <f>(0.5)*L$67</f>
        <v>3246668.3394870055</v>
      </c>
      <c r="M38" s="233">
        <f t="shared" si="1"/>
        <v>541111.38991450088</v>
      </c>
      <c r="N38" s="233">
        <f t="shared" ref="N38" si="12">(0.005)*N$67</f>
        <v>32466.683394870055</v>
      </c>
      <c r="O38" s="233">
        <f t="shared" si="2"/>
        <v>2029167.7121793781</v>
      </c>
      <c r="P38" s="233">
        <f t="shared" si="2"/>
        <v>405833.54243587569</v>
      </c>
      <c r="Q38" s="233">
        <f>(1/24)*Q$67</f>
        <v>270555.69495725044</v>
      </c>
      <c r="R38" s="234">
        <f>'14...Reveg'!$D$39</f>
        <v>21929.005597215761</v>
      </c>
      <c r="S38" s="234">
        <f>'18...O&amp;M'!$D$55</f>
        <v>181912.68097743476</v>
      </c>
      <c r="T38" s="234">
        <f>'18...O&amp;M'!$D$73</f>
        <v>72465.539602537086</v>
      </c>
      <c r="U38" s="234">
        <f>'18...O&amp;M'!$C$23</f>
        <v>48139.198141632231</v>
      </c>
      <c r="V38" s="280">
        <f>'18...O&amp;M'!$B$96</f>
        <v>709500</v>
      </c>
      <c r="W38" s="234"/>
    </row>
    <row r="39" spans="1:23" s="159" customFormat="1" ht="15" customHeight="1" x14ac:dyDescent="0.25">
      <c r="A39" s="281">
        <f t="shared" si="8"/>
        <v>24</v>
      </c>
      <c r="B39" s="57">
        <f t="shared" si="3"/>
        <v>2042</v>
      </c>
      <c r="C39" s="57" t="s">
        <v>543</v>
      </c>
      <c r="D39" s="291">
        <f t="shared" si="0"/>
        <v>1033946.4243188199</v>
      </c>
      <c r="E39" s="266">
        <f>D39*(1+$F$6)^(A39-$A$15)</f>
        <v>1808241.3672945995</v>
      </c>
      <c r="F39" s="293">
        <f>E39/(1+$F$7)^(A39-$A$15)</f>
        <v>454514.27658913506</v>
      </c>
      <c r="G39" s="367"/>
      <c r="H39" s="233"/>
      <c r="I39" s="233"/>
      <c r="J39" s="233"/>
      <c r="K39" s="233"/>
      <c r="L39" s="233"/>
      <c r="M39" s="233"/>
      <c r="N39" s="233"/>
      <c r="O39" s="233"/>
      <c r="P39" s="233"/>
      <c r="Q39" s="233"/>
      <c r="R39" s="234">
        <f>'14...Reveg'!$D$39</f>
        <v>21929.005597215761</v>
      </c>
      <c r="S39" s="234">
        <f>'18...O&amp;M'!$D$55</f>
        <v>181912.68097743476</v>
      </c>
      <c r="T39" s="234">
        <f>'18...O&amp;M'!$D$73</f>
        <v>72465.539602537086</v>
      </c>
      <c r="U39" s="234">
        <f>'18...O&amp;M'!$C$23</f>
        <v>48139.198141632231</v>
      </c>
      <c r="V39" s="280">
        <f>'18...O&amp;M'!$B$96</f>
        <v>709500</v>
      </c>
      <c r="W39" s="234"/>
    </row>
    <row r="40" spans="1:23" s="159" customFormat="1" ht="15" customHeight="1" x14ac:dyDescent="0.25">
      <c r="A40" s="281">
        <f t="shared" si="8"/>
        <v>25</v>
      </c>
      <c r="B40" s="57">
        <f t="shared" si="3"/>
        <v>2043</v>
      </c>
      <c r="C40" s="57" t="s">
        <v>544</v>
      </c>
      <c r="D40" s="291">
        <f t="shared" si="0"/>
        <v>1033946.4243188199</v>
      </c>
      <c r="E40" s="266">
        <f t="shared" si="4"/>
        <v>1850850.4645069214</v>
      </c>
      <c r="F40" s="293">
        <f t="shared" si="5"/>
        <v>439212.39869269409</v>
      </c>
      <c r="G40" s="367"/>
      <c r="H40" s="233"/>
      <c r="I40" s="233"/>
      <c r="J40" s="233"/>
      <c r="K40" s="233"/>
      <c r="L40" s="160"/>
      <c r="M40" s="233"/>
      <c r="N40" s="233"/>
      <c r="O40" s="233"/>
      <c r="P40" s="233"/>
      <c r="Q40" s="233"/>
      <c r="R40" s="234">
        <f>'14...Reveg'!$D$39</f>
        <v>21929.005597215761</v>
      </c>
      <c r="S40" s="234">
        <f>'18...O&amp;M'!$D$55</f>
        <v>181912.68097743476</v>
      </c>
      <c r="T40" s="234">
        <f>'18...O&amp;M'!$D$73</f>
        <v>72465.539602537086</v>
      </c>
      <c r="U40" s="234">
        <f>'18...O&amp;M'!$C$23</f>
        <v>48139.198141632231</v>
      </c>
      <c r="V40" s="280">
        <f>'18...O&amp;M'!$B$96</f>
        <v>709500</v>
      </c>
      <c r="W40" s="234"/>
    </row>
    <row r="41" spans="1:23" s="159" customFormat="1" ht="15" customHeight="1" x14ac:dyDescent="0.25">
      <c r="A41" s="281">
        <f t="shared" si="8"/>
        <v>26</v>
      </c>
      <c r="B41" s="57">
        <f t="shared" si="3"/>
        <v>2044</v>
      </c>
      <c r="C41" s="57" t="s">
        <v>545</v>
      </c>
      <c r="D41" s="291">
        <f t="shared" si="0"/>
        <v>1033946.4243188199</v>
      </c>
      <c r="E41" s="266">
        <f t="shared" si="4"/>
        <v>1894463.5953610386</v>
      </c>
      <c r="F41" s="293">
        <f t="shared" si="5"/>
        <v>424425.68055958289</v>
      </c>
      <c r="G41" s="366"/>
      <c r="H41" s="233"/>
      <c r="I41" s="233"/>
      <c r="J41" s="234"/>
      <c r="K41" s="233"/>
      <c r="L41" s="160"/>
      <c r="M41" s="233"/>
      <c r="N41" s="233"/>
      <c r="O41" s="233"/>
      <c r="P41" s="233"/>
      <c r="Q41" s="233"/>
      <c r="R41" s="234">
        <f>'14...Reveg'!$D$39</f>
        <v>21929.005597215761</v>
      </c>
      <c r="S41" s="234">
        <f>'18...O&amp;M'!$D$55</f>
        <v>181912.68097743476</v>
      </c>
      <c r="T41" s="234">
        <f>'18...O&amp;M'!$D$73</f>
        <v>72465.539602537086</v>
      </c>
      <c r="U41" s="234">
        <f>'18...O&amp;M'!$C$23</f>
        <v>48139.198141632231</v>
      </c>
      <c r="V41" s="280">
        <f>'18...O&amp;M'!$B$96</f>
        <v>709500</v>
      </c>
      <c r="W41" s="234"/>
    </row>
    <row r="42" spans="1:23" s="159" customFormat="1" ht="15" customHeight="1" x14ac:dyDescent="0.25">
      <c r="A42" s="281">
        <f t="shared" si="8"/>
        <v>27</v>
      </c>
      <c r="B42" s="57">
        <f t="shared" si="3"/>
        <v>2045</v>
      </c>
      <c r="C42" s="57" t="s">
        <v>546</v>
      </c>
      <c r="D42" s="291">
        <f t="shared" si="0"/>
        <v>1033946.4243188199</v>
      </c>
      <c r="E42" s="266">
        <f t="shared" si="4"/>
        <v>1939104.4187377954</v>
      </c>
      <c r="F42" s="293">
        <f t="shared" si="5"/>
        <v>410136.77859422757</v>
      </c>
      <c r="G42" s="366"/>
      <c r="H42" s="233"/>
      <c r="I42" s="233"/>
      <c r="J42" s="234"/>
      <c r="K42" s="233"/>
      <c r="L42" s="160"/>
      <c r="M42" s="233"/>
      <c r="N42" s="233"/>
      <c r="O42" s="233"/>
      <c r="P42" s="233"/>
      <c r="Q42" s="233"/>
      <c r="R42" s="234">
        <f>'14...Reveg'!$D$39</f>
        <v>21929.005597215761</v>
      </c>
      <c r="S42" s="234">
        <f>'18...O&amp;M'!$D$55</f>
        <v>181912.68097743476</v>
      </c>
      <c r="T42" s="234">
        <f>'18...O&amp;M'!$D$73</f>
        <v>72465.539602537086</v>
      </c>
      <c r="U42" s="234">
        <f>'18...O&amp;M'!$C$23</f>
        <v>48139.198141632231</v>
      </c>
      <c r="V42" s="280">
        <f>'18...O&amp;M'!$B$96</f>
        <v>709500</v>
      </c>
      <c r="W42" s="234"/>
    </row>
    <row r="43" spans="1:23" s="159" customFormat="1" ht="15" customHeight="1" x14ac:dyDescent="0.25">
      <c r="A43" s="281">
        <f t="shared" si="8"/>
        <v>28</v>
      </c>
      <c r="B43" s="57">
        <f t="shared" si="3"/>
        <v>2046</v>
      </c>
      <c r="C43" s="57" t="s">
        <v>547</v>
      </c>
      <c r="D43" s="291">
        <f t="shared" si="0"/>
        <v>1033946.4243188199</v>
      </c>
      <c r="E43" s="266">
        <f t="shared" si="4"/>
        <v>1984797.1510119494</v>
      </c>
      <c r="F43" s="293">
        <f t="shared" si="5"/>
        <v>396328.93309818464</v>
      </c>
      <c r="G43" s="366"/>
      <c r="H43" s="233"/>
      <c r="I43" s="233"/>
      <c r="J43" s="234"/>
      <c r="K43" s="233"/>
      <c r="L43" s="160"/>
      <c r="M43" s="233"/>
      <c r="N43" s="233"/>
      <c r="O43" s="233"/>
      <c r="P43" s="233"/>
      <c r="Q43" s="233"/>
      <c r="R43" s="234">
        <f>'14...Reveg'!$D$39</f>
        <v>21929.005597215761</v>
      </c>
      <c r="S43" s="234">
        <f>'18...O&amp;M'!$D$55</f>
        <v>181912.68097743476</v>
      </c>
      <c r="T43" s="234">
        <f>'18...O&amp;M'!$D$73</f>
        <v>72465.539602537086</v>
      </c>
      <c r="U43" s="234">
        <f>'18...O&amp;M'!$C$23</f>
        <v>48139.198141632231</v>
      </c>
      <c r="V43" s="280">
        <f>'18...O&amp;M'!$B$96</f>
        <v>709500</v>
      </c>
      <c r="W43" s="234"/>
    </row>
    <row r="44" spans="1:23" s="159" customFormat="1" ht="15" customHeight="1" x14ac:dyDescent="0.25">
      <c r="A44" s="281">
        <f t="shared" si="8"/>
        <v>29</v>
      </c>
      <c r="B44" s="57">
        <f t="shared" si="3"/>
        <v>2047</v>
      </c>
      <c r="C44" s="57" t="s">
        <v>548</v>
      </c>
      <c r="D44" s="291">
        <f t="shared" si="0"/>
        <v>1033946.4243188199</v>
      </c>
      <c r="E44" s="266">
        <f t="shared" si="4"/>
        <v>2031566.5791888628</v>
      </c>
      <c r="F44" s="293">
        <f t="shared" si="5"/>
        <v>382985.94861240307</v>
      </c>
      <c r="G44" s="366"/>
      <c r="H44" s="233"/>
      <c r="I44" s="233"/>
      <c r="J44" s="234"/>
      <c r="K44" s="233"/>
      <c r="L44" s="160"/>
      <c r="M44" s="233"/>
      <c r="N44" s="233"/>
      <c r="O44" s="233"/>
      <c r="P44" s="233"/>
      <c r="Q44" s="233"/>
      <c r="R44" s="234">
        <f>'14...Reveg'!$D$39</f>
        <v>21929.005597215761</v>
      </c>
      <c r="S44" s="234">
        <f>'18...O&amp;M'!$D$55</f>
        <v>181912.68097743476</v>
      </c>
      <c r="T44" s="234">
        <f>'18...O&amp;M'!$D$73</f>
        <v>72465.539602537086</v>
      </c>
      <c r="U44" s="234">
        <f>'18...O&amp;M'!$C$23</f>
        <v>48139.198141632231</v>
      </c>
      <c r="V44" s="280">
        <f>'18...O&amp;M'!$B$96</f>
        <v>709500</v>
      </c>
      <c r="W44" s="234"/>
    </row>
    <row r="45" spans="1:23" s="159" customFormat="1" ht="15" customHeight="1" x14ac:dyDescent="0.25">
      <c r="A45" s="281">
        <f t="shared" si="8"/>
        <v>30</v>
      </c>
      <c r="B45" s="57">
        <f t="shared" si="3"/>
        <v>2048</v>
      </c>
      <c r="C45" s="57" t="s">
        <v>549</v>
      </c>
      <c r="D45" s="291">
        <f t="shared" si="0"/>
        <v>1033946.4243188199</v>
      </c>
      <c r="E45" s="266">
        <f t="shared" si="4"/>
        <v>2079438.0743507475</v>
      </c>
      <c r="F45" s="293">
        <f t="shared" si="5"/>
        <v>370092.17492129159</v>
      </c>
      <c r="G45" s="366"/>
      <c r="H45" s="233"/>
      <c r="I45" s="233"/>
      <c r="J45" s="234"/>
      <c r="K45" s="233"/>
      <c r="L45" s="160"/>
      <c r="M45" s="233"/>
      <c r="N45" s="233"/>
      <c r="O45" s="233"/>
      <c r="P45" s="233"/>
      <c r="Q45" s="233"/>
      <c r="R45" s="234">
        <f>'14...Reveg'!$D$39</f>
        <v>21929.005597215761</v>
      </c>
      <c r="S45" s="234">
        <f>'18...O&amp;M'!$D$55</f>
        <v>181912.68097743476</v>
      </c>
      <c r="T45" s="234">
        <f>'18...O&amp;M'!$D$73</f>
        <v>72465.539602537086</v>
      </c>
      <c r="U45" s="234">
        <f>'18...O&amp;M'!$C$23</f>
        <v>48139.198141632231</v>
      </c>
      <c r="V45" s="280">
        <f>'18...O&amp;M'!$B$96</f>
        <v>709500</v>
      </c>
      <c r="W45" s="234"/>
    </row>
    <row r="46" spans="1:23" s="159" customFormat="1" ht="15" customHeight="1" x14ac:dyDescent="0.25">
      <c r="A46" s="281">
        <f t="shared" si="8"/>
        <v>31</v>
      </c>
      <c r="B46" s="57">
        <f t="shared" si="3"/>
        <v>2049</v>
      </c>
      <c r="C46" s="57" t="s">
        <v>550</v>
      </c>
      <c r="D46" s="291">
        <f t="shared" si="0"/>
        <v>1033946.4243188199</v>
      </c>
      <c r="E46" s="266">
        <f t="shared" si="4"/>
        <v>2128437.6054197545</v>
      </c>
      <c r="F46" s="293">
        <f t="shared" si="5"/>
        <v>357632.48869631294</v>
      </c>
      <c r="G46" s="366"/>
      <c r="H46" s="233"/>
      <c r="I46" s="233"/>
      <c r="J46" s="234"/>
      <c r="K46" s="233"/>
      <c r="L46" s="233"/>
      <c r="M46" s="233"/>
      <c r="N46" s="160"/>
      <c r="O46" s="233"/>
      <c r="P46" s="233"/>
      <c r="Q46" s="233"/>
      <c r="R46" s="234">
        <f>'14...Reveg'!$D$39</f>
        <v>21929.005597215761</v>
      </c>
      <c r="S46" s="234">
        <f>'18...O&amp;M'!$D$55</f>
        <v>181912.68097743476</v>
      </c>
      <c r="T46" s="234">
        <f>'18...O&amp;M'!$D$73</f>
        <v>72465.539602537086</v>
      </c>
      <c r="U46" s="234">
        <f>'18...O&amp;M'!$C$23</f>
        <v>48139.198141632231</v>
      </c>
      <c r="V46" s="280">
        <f>'18...O&amp;M'!$B$96</f>
        <v>709500</v>
      </c>
      <c r="W46" s="234"/>
    </row>
    <row r="47" spans="1:23" s="159" customFormat="1" ht="15" customHeight="1" x14ac:dyDescent="0.25">
      <c r="A47" s="281">
        <f t="shared" si="8"/>
        <v>32</v>
      </c>
      <c r="B47" s="57">
        <f t="shared" si="3"/>
        <v>2050</v>
      </c>
      <c r="C47" s="57" t="s">
        <v>551</v>
      </c>
      <c r="D47" s="291">
        <f t="shared" si="0"/>
        <v>1033946.4243188199</v>
      </c>
      <c r="E47" s="266">
        <f t="shared" si="4"/>
        <v>2178591.7532453728</v>
      </c>
      <c r="F47" s="293">
        <f t="shared" si="5"/>
        <v>345592.27575757127</v>
      </c>
      <c r="G47" s="366"/>
      <c r="H47" s="234"/>
      <c r="I47" s="234"/>
      <c r="J47" s="234"/>
      <c r="K47" s="234"/>
      <c r="L47" s="160"/>
      <c r="M47" s="160"/>
      <c r="N47" s="160"/>
      <c r="O47" s="160"/>
      <c r="P47" s="160"/>
      <c r="Q47" s="160"/>
      <c r="R47" s="234">
        <f>'14...Reveg'!$D$39</f>
        <v>21929.005597215761</v>
      </c>
      <c r="S47" s="234">
        <f>'18...O&amp;M'!$D$55</f>
        <v>181912.68097743476</v>
      </c>
      <c r="T47" s="234">
        <f>'18...O&amp;M'!$D$73</f>
        <v>72465.539602537086</v>
      </c>
      <c r="U47" s="234">
        <f>'18...O&amp;M'!$C$23</f>
        <v>48139.198141632231</v>
      </c>
      <c r="V47" s="280">
        <f>'18...O&amp;M'!$B$96</f>
        <v>709500</v>
      </c>
      <c r="W47" s="234"/>
    </row>
    <row r="48" spans="1:23" s="159" customFormat="1" ht="15" customHeight="1" x14ac:dyDescent="0.25">
      <c r="A48" s="281">
        <f t="shared" si="8"/>
        <v>33</v>
      </c>
      <c r="B48" s="57">
        <f t="shared" si="3"/>
        <v>2051</v>
      </c>
      <c r="C48" s="57" t="s">
        <v>552</v>
      </c>
      <c r="D48" s="291">
        <f t="shared" si="0"/>
        <v>906757.31402883388</v>
      </c>
      <c r="E48" s="266">
        <f t="shared" ref="E48:E63" si="13">D48*(1+$F$6)^(A48-$A$15)</f>
        <v>1955617.0676378361</v>
      </c>
      <c r="F48" s="293">
        <f t="shared" si="5"/>
        <v>292876.22698345623</v>
      </c>
      <c r="G48" s="366"/>
      <c r="H48" s="234"/>
      <c r="I48" s="234"/>
      <c r="J48" s="234"/>
      <c r="K48" s="234"/>
      <c r="L48" s="160"/>
      <c r="M48" s="160"/>
      <c r="N48" s="160"/>
      <c r="O48" s="160"/>
      <c r="P48" s="160"/>
      <c r="Q48" s="160"/>
      <c r="R48" s="234">
        <f>'14...Reveg'!$D$39</f>
        <v>21929.005597215761</v>
      </c>
      <c r="S48" s="234">
        <f>'18...O&amp;M'!$D$56</f>
        <v>90956.340488717382</v>
      </c>
      <c r="T48" s="234">
        <f>'18...O&amp;M'!$D$74</f>
        <v>36232.769801268543</v>
      </c>
      <c r="U48" s="234">
        <f>'18...O&amp;M'!$C$23</f>
        <v>48139.198141632231</v>
      </c>
      <c r="V48" s="280">
        <f>'18...O&amp;M'!$B$96</f>
        <v>709500</v>
      </c>
      <c r="W48" s="234"/>
    </row>
    <row r="49" spans="1:23" s="159" customFormat="1" ht="15" customHeight="1" x14ac:dyDescent="0.25">
      <c r="A49" s="281">
        <f t="shared" si="8"/>
        <v>34</v>
      </c>
      <c r="B49" s="57">
        <f t="shared" si="3"/>
        <v>2052</v>
      </c>
      <c r="C49" s="57" t="s">
        <v>553</v>
      </c>
      <c r="D49" s="291">
        <f t="shared" si="0"/>
        <v>906757.31402883388</v>
      </c>
      <c r="E49" s="266">
        <f t="shared" si="13"/>
        <v>2001698.9012094939</v>
      </c>
      <c r="F49" s="293">
        <f t="shared" si="5"/>
        <v>283016.1268834052</v>
      </c>
      <c r="G49" s="366"/>
      <c r="H49" s="234"/>
      <c r="I49" s="234"/>
      <c r="J49" s="234"/>
      <c r="K49" s="234"/>
      <c r="L49" s="160"/>
      <c r="M49" s="160"/>
      <c r="N49" s="160"/>
      <c r="O49" s="160"/>
      <c r="P49" s="160"/>
      <c r="Q49" s="160"/>
      <c r="R49" s="234">
        <f>'14...Reveg'!$D$39</f>
        <v>21929.005597215761</v>
      </c>
      <c r="S49" s="234">
        <f>'18...O&amp;M'!$D$56</f>
        <v>90956.340488717382</v>
      </c>
      <c r="T49" s="234">
        <f>'18...O&amp;M'!$D$74</f>
        <v>36232.769801268543</v>
      </c>
      <c r="U49" s="234">
        <f>'18...O&amp;M'!$C$23</f>
        <v>48139.198141632231</v>
      </c>
      <c r="V49" s="280">
        <f>'18...O&amp;M'!$B$96</f>
        <v>709500</v>
      </c>
      <c r="W49" s="234"/>
    </row>
    <row r="50" spans="1:23" s="159" customFormat="1" ht="15" customHeight="1" x14ac:dyDescent="0.25">
      <c r="A50" s="281">
        <f t="shared" si="8"/>
        <v>35</v>
      </c>
      <c r="B50" s="57">
        <f t="shared" si="3"/>
        <v>2053</v>
      </c>
      <c r="C50" s="57" t="s">
        <v>554</v>
      </c>
      <c r="D50" s="291">
        <f t="shared" si="0"/>
        <v>906757.31402883388</v>
      </c>
      <c r="E50" s="266">
        <f t="shared" si="13"/>
        <v>2048866.5994018216</v>
      </c>
      <c r="F50" s="293">
        <f t="shared" si="5"/>
        <v>273487.98125772167</v>
      </c>
      <c r="G50" s="366"/>
      <c r="H50" s="234"/>
      <c r="I50" s="234"/>
      <c r="J50" s="234"/>
      <c r="K50" s="234"/>
      <c r="L50" s="160"/>
      <c r="M50" s="160"/>
      <c r="N50" s="160"/>
      <c r="O50" s="160"/>
      <c r="P50" s="160"/>
      <c r="Q50" s="160"/>
      <c r="R50" s="234">
        <f>'14...Reveg'!$D$39</f>
        <v>21929.005597215761</v>
      </c>
      <c r="S50" s="234">
        <f>'18...O&amp;M'!$D$56</f>
        <v>90956.340488717382</v>
      </c>
      <c r="T50" s="234">
        <f>'18...O&amp;M'!$D$74</f>
        <v>36232.769801268543</v>
      </c>
      <c r="U50" s="234">
        <f>'18...O&amp;M'!$C$23</f>
        <v>48139.198141632231</v>
      </c>
      <c r="V50" s="280">
        <f>'18...O&amp;M'!$B$96</f>
        <v>709500</v>
      </c>
      <c r="W50" s="234"/>
    </row>
    <row r="51" spans="1:23" s="159" customFormat="1" ht="15" customHeight="1" x14ac:dyDescent="0.25">
      <c r="A51" s="281">
        <f t="shared" si="8"/>
        <v>36</v>
      </c>
      <c r="B51" s="57">
        <f t="shared" si="3"/>
        <v>2054</v>
      </c>
      <c r="C51" s="57" t="s">
        <v>555</v>
      </c>
      <c r="D51" s="291">
        <f t="shared" si="0"/>
        <v>906757.31402883388</v>
      </c>
      <c r="E51" s="266">
        <f t="shared" si="13"/>
        <v>2097145.7493471669</v>
      </c>
      <c r="F51" s="293">
        <f t="shared" si="5"/>
        <v>264280.61438081111</v>
      </c>
      <c r="G51" s="366"/>
      <c r="H51" s="234"/>
      <c r="I51" s="234"/>
      <c r="J51" s="234"/>
      <c r="K51" s="234"/>
      <c r="L51" s="160"/>
      <c r="M51" s="160"/>
      <c r="N51" s="160"/>
      <c r="O51" s="160"/>
      <c r="P51" s="160"/>
      <c r="Q51" s="160"/>
      <c r="R51" s="234">
        <f>'14...Reveg'!$D$39</f>
        <v>21929.005597215761</v>
      </c>
      <c r="S51" s="234">
        <f>'18...O&amp;M'!$D$56</f>
        <v>90956.340488717382</v>
      </c>
      <c r="T51" s="234">
        <f>'18...O&amp;M'!$D$74</f>
        <v>36232.769801268543</v>
      </c>
      <c r="U51" s="234">
        <f>'18...O&amp;M'!$C$23</f>
        <v>48139.198141632231</v>
      </c>
      <c r="V51" s="280">
        <f>'18...O&amp;M'!$B$96</f>
        <v>709500</v>
      </c>
      <c r="W51" s="234"/>
    </row>
    <row r="52" spans="1:23" s="159" customFormat="1" ht="15" customHeight="1" x14ac:dyDescent="0.25">
      <c r="A52" s="281">
        <f t="shared" si="8"/>
        <v>37</v>
      </c>
      <c r="B52" s="57">
        <f t="shared" si="3"/>
        <v>2055</v>
      </c>
      <c r="C52" s="57" t="s">
        <v>556</v>
      </c>
      <c r="D52" s="291">
        <f t="shared" si="0"/>
        <v>1131955.086461276</v>
      </c>
      <c r="E52" s="266">
        <f t="shared" si="13"/>
        <v>2679672.2223495254</v>
      </c>
      <c r="F52" s="293">
        <f t="shared" si="5"/>
        <v>318808.94487552904</v>
      </c>
      <c r="G52" s="366"/>
      <c r="H52" s="234"/>
      <c r="I52" s="234"/>
      <c r="J52" s="234"/>
      <c r="K52" s="234"/>
      <c r="L52" s="160"/>
      <c r="M52" s="160"/>
      <c r="N52" s="160"/>
      <c r="O52" s="160"/>
      <c r="P52" s="160"/>
      <c r="Q52" s="160"/>
      <c r="R52" s="234">
        <f>'14...Reveg'!$D$39</f>
        <v>21929.005597215761</v>
      </c>
      <c r="S52" s="234">
        <f>'18...O&amp;M'!$D$56</f>
        <v>90956.340488717382</v>
      </c>
      <c r="T52" s="234">
        <f>'18...O&amp;M'!$D$74</f>
        <v>36232.769801268543</v>
      </c>
      <c r="U52" s="234">
        <f>'18...O&amp;M'!$C$23</f>
        <v>48139.198141632231</v>
      </c>
      <c r="V52" s="280">
        <f>'18...O&amp;M'!$B$96+'18...O&amp;M'!$B$102</f>
        <v>934697.77243244206</v>
      </c>
      <c r="W52" s="234"/>
    </row>
    <row r="53" spans="1:23" s="159" customFormat="1" ht="15" customHeight="1" x14ac:dyDescent="0.25">
      <c r="A53" s="281">
        <f t="shared" si="8"/>
        <v>38</v>
      </c>
      <c r="B53" s="57">
        <f t="shared" si="3"/>
        <v>2056</v>
      </c>
      <c r="C53" s="57" t="s">
        <v>557</v>
      </c>
      <c r="D53" s="291">
        <f t="shared" si="0"/>
        <v>906757.31402883388</v>
      </c>
      <c r="E53" s="266">
        <f t="shared" si="13"/>
        <v>2197143.7818882042</v>
      </c>
      <c r="F53" s="293">
        <f t="shared" si="5"/>
        <v>246785.38253854658</v>
      </c>
      <c r="G53" s="366"/>
      <c r="H53" s="234"/>
      <c r="I53" s="234"/>
      <c r="J53" s="234"/>
      <c r="K53" s="234"/>
      <c r="L53" s="160"/>
      <c r="M53" s="160"/>
      <c r="N53" s="160"/>
      <c r="O53" s="160"/>
      <c r="P53" s="160"/>
      <c r="Q53" s="160"/>
      <c r="R53" s="234">
        <f>'14...Reveg'!$D$39</f>
        <v>21929.005597215761</v>
      </c>
      <c r="S53" s="234">
        <f>'18...O&amp;M'!$D$56</f>
        <v>90956.340488717382</v>
      </c>
      <c r="T53" s="234">
        <f>'18...O&amp;M'!$D$74</f>
        <v>36232.769801268543</v>
      </c>
      <c r="U53" s="234">
        <f>'18...O&amp;M'!$C$23</f>
        <v>48139.198141632231</v>
      </c>
      <c r="V53" s="280">
        <f>'18...O&amp;M'!$B$96</f>
        <v>709500</v>
      </c>
      <c r="W53" s="234"/>
    </row>
    <row r="54" spans="1:23" s="159" customFormat="1" ht="15" customHeight="1" x14ac:dyDescent="0.25">
      <c r="A54" s="281">
        <f t="shared" si="8"/>
        <v>39</v>
      </c>
      <c r="B54" s="57">
        <f t="shared" si="3"/>
        <v>2057</v>
      </c>
      <c r="C54" s="57" t="s">
        <v>558</v>
      </c>
      <c r="D54" s="291">
        <f t="shared" si="0"/>
        <v>906757.31402883388</v>
      </c>
      <c r="E54" s="266">
        <f t="shared" si="13"/>
        <v>2248916.9105673647</v>
      </c>
      <c r="F54" s="293">
        <f t="shared" si="5"/>
        <v>238476.99711538662</v>
      </c>
      <c r="G54" s="366"/>
      <c r="H54" s="234"/>
      <c r="I54" s="234"/>
      <c r="J54" s="234"/>
      <c r="K54" s="234"/>
      <c r="L54" s="160"/>
      <c r="M54" s="160"/>
      <c r="N54" s="160"/>
      <c r="O54" s="160"/>
      <c r="P54" s="160"/>
      <c r="Q54" s="160"/>
      <c r="R54" s="234">
        <f>'14...Reveg'!$D$39</f>
        <v>21929.005597215761</v>
      </c>
      <c r="S54" s="234">
        <f>'18...O&amp;M'!$D$56</f>
        <v>90956.340488717382</v>
      </c>
      <c r="T54" s="234">
        <f>'18...O&amp;M'!$D$74</f>
        <v>36232.769801268543</v>
      </c>
      <c r="U54" s="234">
        <f>'18...O&amp;M'!$C$23</f>
        <v>48139.198141632231</v>
      </c>
      <c r="V54" s="280">
        <f>'18...O&amp;M'!$B$96</f>
        <v>709500</v>
      </c>
    </row>
    <row r="55" spans="1:23" s="159" customFormat="1" ht="15" customHeight="1" x14ac:dyDescent="0.25">
      <c r="A55" s="281">
        <f t="shared" si="8"/>
        <v>40</v>
      </c>
      <c r="B55" s="57">
        <f t="shared" si="3"/>
        <v>2058</v>
      </c>
      <c r="C55" s="57" t="s">
        <v>559</v>
      </c>
      <c r="D55" s="291">
        <f t="shared" si="0"/>
        <v>906757.31402883388</v>
      </c>
      <c r="E55" s="266">
        <f t="shared" si="13"/>
        <v>2301910.0125934328</v>
      </c>
      <c r="F55" s="293">
        <f t="shared" si="5"/>
        <v>230448.32545659022</v>
      </c>
      <c r="G55" s="366"/>
      <c r="H55" s="234"/>
      <c r="I55" s="234"/>
      <c r="J55" s="234"/>
      <c r="K55" s="234"/>
      <c r="L55" s="160"/>
      <c r="M55" s="160"/>
      <c r="N55" s="160"/>
      <c r="O55" s="160"/>
      <c r="P55" s="160"/>
      <c r="Q55" s="160"/>
      <c r="R55" s="234">
        <f>'14...Reveg'!$D$39</f>
        <v>21929.005597215761</v>
      </c>
      <c r="S55" s="234">
        <f>'18...O&amp;M'!$D$56</f>
        <v>90956.340488717382</v>
      </c>
      <c r="T55" s="234">
        <f>'18...O&amp;M'!$D$74</f>
        <v>36232.769801268543</v>
      </c>
      <c r="U55" s="234">
        <f>'18...O&amp;M'!$C$23</f>
        <v>48139.198141632231</v>
      </c>
      <c r="V55" s="280">
        <f>'18...O&amp;M'!$B$96</f>
        <v>709500</v>
      </c>
    </row>
    <row r="56" spans="1:23" s="159" customFormat="1" ht="15" customHeight="1" x14ac:dyDescent="0.25">
      <c r="A56" s="281">
        <f t="shared" si="8"/>
        <v>41</v>
      </c>
      <c r="B56" s="57">
        <f t="shared" si="3"/>
        <v>2059</v>
      </c>
      <c r="C56" s="57" t="s">
        <v>560</v>
      </c>
      <c r="D56" s="291">
        <f t="shared" si="0"/>
        <v>906757.31402883388</v>
      </c>
      <c r="E56" s="266">
        <f t="shared" si="13"/>
        <v>2356151.8352143569</v>
      </c>
      <c r="F56" s="293">
        <f t="shared" si="5"/>
        <v>222689.95059532343</v>
      </c>
      <c r="G56" s="366"/>
      <c r="H56" s="234"/>
      <c r="I56" s="234"/>
      <c r="J56" s="234"/>
      <c r="K56" s="234"/>
      <c r="L56" s="160"/>
      <c r="M56" s="160"/>
      <c r="N56" s="160"/>
      <c r="O56" s="160"/>
      <c r="P56" s="160"/>
      <c r="Q56" s="160"/>
      <c r="R56" s="234">
        <f>'14...Reveg'!$D$39</f>
        <v>21929.005597215761</v>
      </c>
      <c r="S56" s="234">
        <f>'18...O&amp;M'!$D$56</f>
        <v>90956.340488717382</v>
      </c>
      <c r="T56" s="234">
        <f>'18...O&amp;M'!$D$74</f>
        <v>36232.769801268543</v>
      </c>
      <c r="U56" s="234">
        <f>'18...O&amp;M'!$C$23</f>
        <v>48139.198141632231</v>
      </c>
      <c r="V56" s="280">
        <f>'18...O&amp;M'!$B$96</f>
        <v>709500</v>
      </c>
    </row>
    <row r="57" spans="1:23" s="159" customFormat="1" ht="15" customHeight="1" x14ac:dyDescent="0.25">
      <c r="A57" s="281">
        <f t="shared" si="8"/>
        <v>42</v>
      </c>
      <c r="B57" s="57">
        <f t="shared" si="3"/>
        <v>2060</v>
      </c>
      <c r="C57" s="57" t="s">
        <v>561</v>
      </c>
      <c r="D57" s="291">
        <f t="shared" si="0"/>
        <v>906757.31402883388</v>
      </c>
      <c r="E57" s="266">
        <f t="shared" si="13"/>
        <v>2411671.8030734286</v>
      </c>
      <c r="F57" s="293">
        <f t="shared" si="5"/>
        <v>215192.77260050675</v>
      </c>
      <c r="G57" s="366"/>
      <c r="H57" s="234"/>
      <c r="I57" s="234"/>
      <c r="J57" s="234"/>
      <c r="K57" s="234"/>
      <c r="L57" s="160"/>
      <c r="M57" s="160"/>
      <c r="N57" s="160"/>
      <c r="O57" s="160"/>
      <c r="P57" s="160"/>
      <c r="Q57" s="160"/>
      <c r="R57" s="234">
        <f>'14...Reveg'!$D$39</f>
        <v>21929.005597215761</v>
      </c>
      <c r="S57" s="234">
        <f>'18...O&amp;M'!$D$56</f>
        <v>90956.340488717382</v>
      </c>
      <c r="T57" s="234">
        <f>'18...O&amp;M'!$D$74</f>
        <v>36232.769801268543</v>
      </c>
      <c r="U57" s="234">
        <f>'18...O&amp;M'!$C$23</f>
        <v>48139.198141632231</v>
      </c>
      <c r="V57" s="280">
        <f>'18...O&amp;M'!$B$96</f>
        <v>709500</v>
      </c>
    </row>
    <row r="58" spans="1:23" s="159" customFormat="1" ht="15" customHeight="1" x14ac:dyDescent="0.25">
      <c r="A58" s="281">
        <f t="shared" si="8"/>
        <v>43</v>
      </c>
      <c r="B58" s="57">
        <f t="shared" si="3"/>
        <v>2061</v>
      </c>
      <c r="C58" s="57" t="s">
        <v>562</v>
      </c>
      <c r="D58" s="291">
        <f t="shared" si="0"/>
        <v>852283.35399841575</v>
      </c>
      <c r="E58" s="266">
        <f t="shared" si="13"/>
        <v>2320203.4942745771</v>
      </c>
      <c r="F58" s="293">
        <f t="shared" si="5"/>
        <v>195455.40396345439</v>
      </c>
      <c r="G58" s="366"/>
      <c r="H58" s="234"/>
      <c r="I58" s="234"/>
      <c r="J58" s="234"/>
      <c r="K58" s="234"/>
      <c r="L58" s="160"/>
      <c r="M58" s="160"/>
      <c r="N58" s="160"/>
      <c r="O58" s="160"/>
      <c r="P58" s="160"/>
      <c r="Q58" s="160"/>
      <c r="R58" s="234">
        <f>'14...Reveg'!$D$39</f>
        <v>21929.005597215761</v>
      </c>
      <c r="S58" s="234">
        <f>'18...O&amp;M'!$D$57</f>
        <v>60637.560325811588</v>
      </c>
      <c r="T58" s="234">
        <f>'18...O&amp;M'!$D$75</f>
        <v>12077.58993375618</v>
      </c>
      <c r="U58" s="234">
        <f>'18...O&amp;M'!$C$23</f>
        <v>48139.198141632231</v>
      </c>
      <c r="V58" s="280">
        <f>'18...O&amp;M'!$B$96</f>
        <v>709500</v>
      </c>
    </row>
    <row r="59" spans="1:23" s="159" customFormat="1" ht="15" customHeight="1" x14ac:dyDescent="0.25">
      <c r="A59" s="281">
        <f t="shared" si="8"/>
        <v>44</v>
      </c>
      <c r="B59" s="57">
        <f t="shared" si="3"/>
        <v>2062</v>
      </c>
      <c r="C59" s="57" t="s">
        <v>563</v>
      </c>
      <c r="D59" s="291">
        <f t="shared" si="0"/>
        <v>852283.35399841575</v>
      </c>
      <c r="E59" s="266">
        <f t="shared" si="13"/>
        <v>2374876.3814388756</v>
      </c>
      <c r="F59" s="293">
        <f t="shared" si="5"/>
        <v>188875.1162151953</v>
      </c>
      <c r="G59" s="366"/>
      <c r="H59" s="234"/>
      <c r="I59" s="234"/>
      <c r="J59" s="234"/>
      <c r="K59" s="234"/>
      <c r="L59" s="160"/>
      <c r="M59" s="160"/>
      <c r="N59" s="160"/>
      <c r="O59" s="160"/>
      <c r="P59" s="160"/>
      <c r="Q59" s="160"/>
      <c r="R59" s="234">
        <f>'14...Reveg'!$D$39</f>
        <v>21929.005597215761</v>
      </c>
      <c r="S59" s="234">
        <f>'18...O&amp;M'!$D$57</f>
        <v>60637.560325811588</v>
      </c>
      <c r="T59" s="234">
        <f>'18...O&amp;M'!$D$75</f>
        <v>12077.58993375618</v>
      </c>
      <c r="U59" s="234">
        <f>'18...O&amp;M'!$C$23</f>
        <v>48139.198141632231</v>
      </c>
      <c r="V59" s="280">
        <f>'18...O&amp;M'!$B$96</f>
        <v>709500</v>
      </c>
    </row>
    <row r="60" spans="1:23" s="159" customFormat="1" ht="15" customHeight="1" x14ac:dyDescent="0.25">
      <c r="A60" s="281">
        <f t="shared" si="8"/>
        <v>45</v>
      </c>
      <c r="B60" s="57">
        <f t="shared" si="3"/>
        <v>2063</v>
      </c>
      <c r="C60" s="57" t="s">
        <v>564</v>
      </c>
      <c r="D60" s="291">
        <f t="shared" si="0"/>
        <v>852283.35399841575</v>
      </c>
      <c r="E60" s="266">
        <f t="shared" si="13"/>
        <v>2430837.5713741416</v>
      </c>
      <c r="F60" s="293">
        <f t="shared" si="5"/>
        <v>182516.3633335701</v>
      </c>
      <c r="G60" s="366"/>
      <c r="H60" s="234"/>
      <c r="I60" s="234"/>
      <c r="J60" s="234"/>
      <c r="K60" s="234"/>
      <c r="L60" s="160"/>
      <c r="M60" s="160"/>
      <c r="N60" s="160"/>
      <c r="O60" s="160"/>
      <c r="P60" s="160"/>
      <c r="Q60" s="160"/>
      <c r="R60" s="234">
        <f>'14...Reveg'!$D$39</f>
        <v>21929.005597215761</v>
      </c>
      <c r="S60" s="234">
        <f>'18...O&amp;M'!$D$57</f>
        <v>60637.560325811588</v>
      </c>
      <c r="T60" s="234">
        <f>'18...O&amp;M'!$D$75</f>
        <v>12077.58993375618</v>
      </c>
      <c r="U60" s="234">
        <f>'18...O&amp;M'!$C$23</f>
        <v>48139.198141632231</v>
      </c>
      <c r="V60" s="280">
        <f>'18...O&amp;M'!$B$96</f>
        <v>709500</v>
      </c>
    </row>
    <row r="61" spans="1:23" s="159" customFormat="1" ht="15" customHeight="1" x14ac:dyDescent="0.25">
      <c r="A61" s="281">
        <f t="shared" si="8"/>
        <v>46</v>
      </c>
      <c r="B61" s="57">
        <f t="shared" si="3"/>
        <v>2064</v>
      </c>
      <c r="C61" s="57" t="s">
        <v>565</v>
      </c>
      <c r="D61" s="291">
        <f t="shared" si="0"/>
        <v>852283.35399841575</v>
      </c>
      <c r="E61" s="266">
        <f t="shared" si="13"/>
        <v>2488117.4214314437</v>
      </c>
      <c r="F61" s="293">
        <f t="shared" si="5"/>
        <v>176371.68702814929</v>
      </c>
      <c r="G61" s="366"/>
      <c r="H61" s="234"/>
      <c r="I61" s="234"/>
      <c r="J61" s="234"/>
      <c r="K61" s="234"/>
      <c r="L61" s="160"/>
      <c r="M61" s="160"/>
      <c r="N61" s="160"/>
      <c r="O61" s="160"/>
      <c r="P61" s="160"/>
      <c r="Q61" s="160"/>
      <c r="R61" s="234">
        <f>'14...Reveg'!$D$39</f>
        <v>21929.005597215761</v>
      </c>
      <c r="S61" s="234">
        <f>'18...O&amp;M'!$D$57</f>
        <v>60637.560325811588</v>
      </c>
      <c r="T61" s="234">
        <f>'18...O&amp;M'!$D$75</f>
        <v>12077.58993375618</v>
      </c>
      <c r="U61" s="234">
        <f>'18...O&amp;M'!$C$23</f>
        <v>48139.198141632231</v>
      </c>
      <c r="V61" s="280">
        <f>'18...O&amp;M'!$B$96</f>
        <v>709500</v>
      </c>
    </row>
    <row r="62" spans="1:23" s="159" customFormat="1" ht="15" customHeight="1" x14ac:dyDescent="0.25">
      <c r="A62" s="281">
        <f t="shared" si="8"/>
        <v>47</v>
      </c>
      <c r="B62" s="57">
        <f t="shared" si="3"/>
        <v>2065</v>
      </c>
      <c r="C62" s="57" t="s">
        <v>566</v>
      </c>
      <c r="D62" s="291">
        <f t="shared" si="0"/>
        <v>852283.35399841575</v>
      </c>
      <c r="E62" s="266">
        <f t="shared" si="13"/>
        <v>2546747.004297398</v>
      </c>
      <c r="F62" s="293">
        <f t="shared" si="5"/>
        <v>170433.88010259558</v>
      </c>
      <c r="G62" s="366"/>
      <c r="H62" s="234"/>
      <c r="I62" s="234"/>
      <c r="J62" s="234"/>
      <c r="K62" s="234"/>
      <c r="L62" s="160"/>
      <c r="M62" s="160"/>
      <c r="N62" s="160"/>
      <c r="O62" s="160"/>
      <c r="P62" s="160"/>
      <c r="Q62" s="160"/>
      <c r="R62" s="234">
        <f>'14...Reveg'!$D$39</f>
        <v>21929.005597215761</v>
      </c>
      <c r="S62" s="234">
        <f>'18...O&amp;M'!$D$57</f>
        <v>60637.560325811588</v>
      </c>
      <c r="T62" s="234">
        <f>'18...O&amp;M'!$D$75</f>
        <v>12077.58993375618</v>
      </c>
      <c r="U62" s="234">
        <f>'18...O&amp;M'!$C$23</f>
        <v>48139.198141632231</v>
      </c>
      <c r="V62" s="280">
        <f>'18...O&amp;M'!$B$96</f>
        <v>709500</v>
      </c>
      <c r="W62" s="234"/>
    </row>
    <row r="63" spans="1:23" s="159" customFormat="1" ht="15" customHeight="1" x14ac:dyDescent="0.25">
      <c r="A63" s="281">
        <f t="shared" si="8"/>
        <v>48</v>
      </c>
      <c r="B63" s="57">
        <f t="shared" si="3"/>
        <v>2066</v>
      </c>
      <c r="C63" s="57" t="s">
        <v>567</v>
      </c>
      <c r="D63" s="291">
        <f t="shared" si="0"/>
        <v>852283.35399841575</v>
      </c>
      <c r="E63" s="266">
        <f t="shared" si="13"/>
        <v>2606758.1248502093</v>
      </c>
      <c r="F63" s="293">
        <f t="shared" si="5"/>
        <v>164695.97800121873</v>
      </c>
      <c r="G63" s="366"/>
      <c r="H63" s="234"/>
      <c r="I63" s="234"/>
      <c r="J63" s="234"/>
      <c r="K63" s="234"/>
      <c r="L63" s="160"/>
      <c r="M63" s="160"/>
      <c r="N63" s="160"/>
      <c r="O63" s="160"/>
      <c r="P63" s="160"/>
      <c r="Q63" s="160"/>
      <c r="R63" s="234">
        <f>'14...Reveg'!$D$39</f>
        <v>21929.005597215761</v>
      </c>
      <c r="S63" s="234">
        <f>'18...O&amp;M'!$D$57</f>
        <v>60637.560325811588</v>
      </c>
      <c r="T63" s="234">
        <f>'18...O&amp;M'!$D$75</f>
        <v>12077.58993375618</v>
      </c>
      <c r="U63" s="234">
        <f>'18...O&amp;M'!$C$23</f>
        <v>48139.198141632231</v>
      </c>
      <c r="V63" s="280">
        <f>'18...O&amp;M'!$B$96</f>
        <v>709500</v>
      </c>
      <c r="W63" s="234"/>
    </row>
    <row r="64" spans="1:23" s="159" customFormat="1" ht="15" customHeight="1" x14ac:dyDescent="0.25">
      <c r="A64" s="282"/>
      <c r="B64" s="283"/>
      <c r="C64" s="284" t="s">
        <v>568</v>
      </c>
      <c r="D64" s="294">
        <f t="shared" ref="D64:V64" si="14">SUM(D15:D63)</f>
        <v>463761784.86412108</v>
      </c>
      <c r="E64" s="285">
        <f t="shared" si="14"/>
        <v>640165683.7279948</v>
      </c>
      <c r="F64" s="287">
        <f t="shared" si="14"/>
        <v>310270350.39385974</v>
      </c>
      <c r="G64" s="294">
        <f t="shared" si="14"/>
        <v>0</v>
      </c>
      <c r="H64" s="285">
        <f t="shared" si="14"/>
        <v>217126918.64409456</v>
      </c>
      <c r="I64" s="285">
        <f t="shared" si="14"/>
        <v>438580.11194431502</v>
      </c>
      <c r="J64" s="285">
        <f t="shared" si="14"/>
        <v>5927253.3021961115</v>
      </c>
      <c r="K64" s="286">
        <f>SUM(K15:K63)</f>
        <v>101174081.89046551</v>
      </c>
      <c r="L64" s="285">
        <f t="shared" si="14"/>
        <v>6493336.678974011</v>
      </c>
      <c r="M64" s="285">
        <f t="shared" si="14"/>
        <v>12986673.357948024</v>
      </c>
      <c r="N64" s="285">
        <f t="shared" si="14"/>
        <v>6493336.678974011</v>
      </c>
      <c r="O64" s="285">
        <f t="shared" si="14"/>
        <v>48700025.092305072</v>
      </c>
      <c r="P64" s="285">
        <f t="shared" si="14"/>
        <v>9740005.0184610188</v>
      </c>
      <c r="Q64" s="285">
        <f t="shared" si="14"/>
        <v>6493336.6789740119</v>
      </c>
      <c r="R64" s="285">
        <f t="shared" si="14"/>
        <v>1052592.2686663561</v>
      </c>
      <c r="S64" s="285">
        <f t="shared" si="14"/>
        <v>7276507.2390973885</v>
      </c>
      <c r="T64" s="285">
        <f t="shared" si="14"/>
        <v>2826156.0444989461</v>
      </c>
      <c r="U64" s="285">
        <f t="shared" si="14"/>
        <v>2262542.3126567127</v>
      </c>
      <c r="V64" s="287">
        <f t="shared" si="14"/>
        <v>34770439.544864886</v>
      </c>
      <c r="W64" s="236"/>
    </row>
    <row r="65" spans="1:23" s="159" customFormat="1" ht="15" customHeight="1" x14ac:dyDescent="0.25">
      <c r="A65" s="13"/>
      <c r="B65" s="13"/>
      <c r="C65" s="66"/>
      <c r="D65" s="237"/>
      <c r="E65" s="237"/>
      <c r="F65" s="13"/>
      <c r="G65" s="238"/>
      <c r="H65" s="238"/>
      <c r="I65" s="238"/>
      <c r="J65" s="239"/>
      <c r="K65" s="260"/>
      <c r="R65" s="238"/>
      <c r="S65" s="238"/>
      <c r="T65" s="238"/>
      <c r="U65" s="238"/>
      <c r="V65" s="239"/>
      <c r="W65" s="239"/>
    </row>
    <row r="66" spans="1:23" s="159" customFormat="1" ht="15" customHeight="1" x14ac:dyDescent="0.25">
      <c r="A66" s="13"/>
      <c r="B66" s="13"/>
      <c r="C66" s="13"/>
      <c r="D66" s="14"/>
      <c r="E66" s="14"/>
      <c r="F66" s="13"/>
      <c r="G66" s="238"/>
      <c r="H66" s="238"/>
      <c r="I66" s="238"/>
      <c r="J66" s="238"/>
      <c r="K66" s="238"/>
      <c r="L66" s="238"/>
      <c r="M66" s="238"/>
      <c r="N66" s="238"/>
      <c r="O66" s="238"/>
      <c r="P66" s="238"/>
      <c r="Q66" s="238"/>
      <c r="R66" s="238"/>
      <c r="S66" s="238"/>
      <c r="T66" s="238"/>
      <c r="U66" s="238"/>
      <c r="V66" s="239"/>
      <c r="W66" s="239"/>
    </row>
    <row r="67" spans="1:23" s="13" customFormat="1" ht="15" customHeight="1" x14ac:dyDescent="0.2">
      <c r="C67" s="14"/>
      <c r="D67" s="14"/>
      <c r="E67" s="14"/>
      <c r="F67" s="240" t="s">
        <v>569</v>
      </c>
      <c r="G67" s="241">
        <f>'19...CostSum'!$D$8</f>
        <v>0</v>
      </c>
      <c r="H67" s="242">
        <f>'19...CostSum'!$D$9</f>
        <v>217126918.64409465</v>
      </c>
      <c r="I67" s="242">
        <f>'19...CostSum'!$D$10</f>
        <v>438580.1119443152</v>
      </c>
      <c r="J67" s="242">
        <f>'19...CostSum'!$D$11</f>
        <v>5927253.3021961115</v>
      </c>
      <c r="K67" s="241">
        <f>'19...CostSum'!$D$12</f>
        <v>101174081.89046548</v>
      </c>
      <c r="L67" s="242">
        <f>'19...CostSum'!$D$16</f>
        <v>6493336.678974011</v>
      </c>
      <c r="M67" s="242">
        <f>'19...CostSum'!$D$17</f>
        <v>12986673.357948022</v>
      </c>
      <c r="N67" s="242">
        <f>'19...CostSum'!$D$18</f>
        <v>6493336.678974011</v>
      </c>
      <c r="O67" s="242">
        <f>'19...CostSum'!$D$19</f>
        <v>48700025.092305079</v>
      </c>
      <c r="P67" s="242">
        <f>'19...CostSum'!$D$20</f>
        <v>9740005.0184610169</v>
      </c>
      <c r="Q67" s="242">
        <f>'19...CostSum'!$D$21</f>
        <v>6493336.678974011</v>
      </c>
      <c r="R67" s="404">
        <f>'19...CostSum'!$D$28</f>
        <v>1052592.2686663566</v>
      </c>
      <c r="S67" s="405">
        <f>'19...CostSum'!$D$29</f>
        <v>7276507.2390973903</v>
      </c>
      <c r="T67" s="405">
        <f>'19...CostSum'!$D$30</f>
        <v>2826156.0444989465</v>
      </c>
      <c r="U67" s="405">
        <f>'19...CostSum'!$D$31</f>
        <v>2262542.312656715</v>
      </c>
      <c r="V67" s="405">
        <f>'19...CostSum'!$D$32</f>
        <v>34770439.544864886</v>
      </c>
      <c r="W67" s="242"/>
    </row>
    <row r="68" spans="1:23" s="159" customFormat="1" ht="15.75" x14ac:dyDescent="0.25">
      <c r="G68" s="179"/>
      <c r="H68" s="179"/>
      <c r="I68" s="179"/>
      <c r="J68" s="243"/>
      <c r="K68" s="261"/>
    </row>
    <row r="69" spans="1:23" x14ac:dyDescent="0.25">
      <c r="H69" s="406"/>
      <c r="I69" s="406"/>
      <c r="J69" s="406"/>
      <c r="K69" s="406"/>
      <c r="L69" s="406"/>
      <c r="M69" s="406"/>
      <c r="N69" s="406"/>
      <c r="O69" s="406"/>
      <c r="P69" s="406"/>
      <c r="Q69" s="406"/>
      <c r="R69" s="406"/>
      <c r="S69" s="406"/>
      <c r="T69" s="406"/>
      <c r="U69" s="406"/>
      <c r="V69" s="406"/>
    </row>
  </sheetData>
  <mergeCells count="3">
    <mergeCell ref="A1:U1"/>
    <mergeCell ref="D9:F11"/>
    <mergeCell ref="G9:V9"/>
  </mergeCells>
  <pageMargins left="0.3" right="0.3" top="0.7" bottom="0.7" header="0.5" footer="0.5"/>
  <pageSetup scale="35" fitToHeight="2"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S60"/>
  <sheetViews>
    <sheetView workbookViewId="0"/>
  </sheetViews>
  <sheetFormatPr defaultRowHeight="15" x14ac:dyDescent="0.25"/>
  <cols>
    <col min="1" max="1" width="3" customWidth="1"/>
    <col min="2" max="2" width="16.5703125" customWidth="1"/>
    <col min="4" max="4" width="11.85546875" customWidth="1"/>
    <col min="5" max="5" width="10.28515625" bestFit="1" customWidth="1"/>
    <col min="6" max="6" width="13.140625" customWidth="1"/>
    <col min="7" max="7" width="15.85546875" customWidth="1"/>
    <col min="9" max="9" width="22.28515625" customWidth="1"/>
    <col min="12" max="13" width="10.140625" customWidth="1"/>
    <col min="14" max="14" width="14.42578125" customWidth="1"/>
    <col min="15" max="15" width="10.5703125" bestFit="1" customWidth="1"/>
  </cols>
  <sheetData>
    <row r="1" spans="1:19" ht="15.75" x14ac:dyDescent="0.25">
      <c r="K1" s="335"/>
      <c r="L1" s="2"/>
      <c r="M1" s="2"/>
      <c r="N1" s="2"/>
      <c r="O1" s="2"/>
      <c r="P1" s="2"/>
      <c r="Q1" s="2"/>
      <c r="R1" s="2"/>
      <c r="S1" s="2"/>
    </row>
    <row r="2" spans="1:19" ht="18" customHeight="1" x14ac:dyDescent="0.25">
      <c r="B2" s="455" t="s">
        <v>630</v>
      </c>
      <c r="C2" s="455"/>
      <c r="D2" s="455"/>
      <c r="E2" s="455"/>
      <c r="F2" s="455"/>
      <c r="G2" s="455"/>
      <c r="H2" s="455"/>
      <c r="I2" s="455"/>
      <c r="K2" s="11"/>
      <c r="L2" s="2"/>
      <c r="M2" s="2"/>
      <c r="N2" s="2"/>
      <c r="O2" s="2"/>
      <c r="P2" s="2"/>
      <c r="Q2" s="2"/>
      <c r="R2" s="2"/>
      <c r="S2" s="2"/>
    </row>
    <row r="3" spans="1:19" ht="18" customHeight="1" x14ac:dyDescent="0.25">
      <c r="B3" s="455"/>
      <c r="C3" s="455"/>
      <c r="D3" s="455"/>
      <c r="E3" s="455"/>
      <c r="F3" s="455"/>
      <c r="G3" s="455"/>
      <c r="H3" s="455"/>
      <c r="I3" s="455"/>
      <c r="K3" s="11"/>
      <c r="L3" s="2"/>
      <c r="M3" s="2"/>
      <c r="N3" s="2"/>
      <c r="O3" s="2"/>
      <c r="P3" s="2"/>
      <c r="Q3" s="2"/>
      <c r="R3" s="2"/>
      <c r="S3" s="2"/>
    </row>
    <row r="4" spans="1:19" s="105" customFormat="1" x14ac:dyDescent="0.2">
      <c r="B4" s="455"/>
      <c r="C4" s="455"/>
      <c r="D4" s="455"/>
      <c r="E4" s="455"/>
      <c r="F4" s="455"/>
      <c r="G4" s="455"/>
      <c r="H4" s="455"/>
      <c r="I4" s="455"/>
      <c r="K4" s="11"/>
      <c r="L4" s="99"/>
      <c r="M4" s="99"/>
      <c r="N4" s="99"/>
      <c r="O4" s="99"/>
      <c r="P4" s="99"/>
      <c r="Q4" s="99"/>
      <c r="R4" s="99"/>
      <c r="S4" s="99"/>
    </row>
    <row r="5" spans="1:19" s="105" customFormat="1" x14ac:dyDescent="0.2">
      <c r="B5" s="244" t="str">
        <f>General!$A$1</f>
        <v>FINANCIAL ASSURANCE AMOUNT CALCULATION</v>
      </c>
      <c r="C5" s="244"/>
      <c r="G5" s="99"/>
      <c r="H5" s="99"/>
      <c r="I5" s="119" t="str">
        <f>General!$D$1</f>
        <v>Questa Mine Site</v>
      </c>
      <c r="K5" s="11"/>
      <c r="L5" s="99"/>
      <c r="M5" s="99"/>
      <c r="N5" s="99"/>
      <c r="O5" s="99"/>
      <c r="P5" s="99"/>
      <c r="Q5" s="99"/>
      <c r="R5" s="99"/>
      <c r="S5" s="99"/>
    </row>
    <row r="6" spans="1:19" s="105" customFormat="1" x14ac:dyDescent="0.2">
      <c r="G6" s="99"/>
      <c r="H6" s="245"/>
      <c r="I6" s="246" t="s">
        <v>570</v>
      </c>
      <c r="K6" s="11"/>
      <c r="L6" s="99"/>
      <c r="M6" s="99"/>
      <c r="N6" s="99"/>
      <c r="O6" s="99"/>
      <c r="P6" s="99"/>
      <c r="Q6" s="99"/>
      <c r="R6" s="99"/>
      <c r="S6" s="99"/>
    </row>
    <row r="7" spans="1:19" s="105" customFormat="1" x14ac:dyDescent="0.2">
      <c r="G7" s="99"/>
      <c r="H7" s="55"/>
      <c r="I7" s="107">
        <f>General!$D$2</f>
        <v>37256</v>
      </c>
      <c r="K7" s="99"/>
      <c r="L7" s="99"/>
      <c r="M7" s="99"/>
      <c r="N7" s="99"/>
      <c r="O7" s="99"/>
      <c r="P7" s="99"/>
      <c r="Q7" s="99"/>
      <c r="R7" s="99"/>
      <c r="S7" s="99"/>
    </row>
    <row r="8" spans="1:19" s="105" customFormat="1" x14ac:dyDescent="0.2">
      <c r="G8" s="99"/>
      <c r="H8" s="67" t="str">
        <f>General!$C$3</f>
        <v>Updated by Kiewit/AECOM</v>
      </c>
      <c r="I8" s="107">
        <f>General!$D$3</f>
        <v>43419</v>
      </c>
      <c r="K8" s="335"/>
      <c r="L8" s="99"/>
      <c r="M8" s="99"/>
      <c r="N8" s="99"/>
      <c r="O8" s="99"/>
      <c r="P8" s="99"/>
      <c r="Q8" s="99"/>
      <c r="R8" s="99"/>
      <c r="S8" s="99"/>
    </row>
    <row r="9" spans="1:19" s="105" customFormat="1" x14ac:dyDescent="0.2">
      <c r="K9" s="99"/>
      <c r="L9" s="99"/>
      <c r="M9" s="99"/>
      <c r="N9" s="99"/>
      <c r="O9" s="99"/>
      <c r="P9" s="99"/>
      <c r="Q9" s="99"/>
      <c r="R9" s="99"/>
      <c r="S9" s="99"/>
    </row>
    <row r="10" spans="1:19" s="105" customFormat="1" x14ac:dyDescent="0.2">
      <c r="A10" s="99"/>
      <c r="B10" s="99" t="s">
        <v>606</v>
      </c>
      <c r="C10" s="99"/>
      <c r="D10" s="99"/>
      <c r="E10" s="99"/>
      <c r="F10" s="99"/>
      <c r="G10" s="99"/>
      <c r="H10" s="99"/>
      <c r="I10" s="99"/>
      <c r="K10" s="99"/>
      <c r="L10" s="99"/>
      <c r="M10" s="99"/>
      <c r="N10" s="99"/>
      <c r="O10" s="99"/>
      <c r="P10" s="99"/>
      <c r="Q10" s="99"/>
      <c r="R10" s="99"/>
      <c r="S10" s="99"/>
    </row>
    <row r="11" spans="1:19" s="105" customFormat="1" x14ac:dyDescent="0.2">
      <c r="A11" s="99"/>
      <c r="B11" s="99" t="s">
        <v>599</v>
      </c>
      <c r="C11" s="99"/>
      <c r="D11" s="99"/>
      <c r="E11" s="99"/>
      <c r="F11" s="99"/>
      <c r="G11" s="99"/>
      <c r="H11" s="99"/>
      <c r="I11" s="99"/>
      <c r="K11" s="99"/>
      <c r="L11" s="99"/>
      <c r="M11" s="99"/>
      <c r="N11" s="99"/>
      <c r="O11" s="99"/>
      <c r="P11" s="99"/>
      <c r="Q11" s="99"/>
      <c r="R11" s="99"/>
      <c r="S11" s="99"/>
    </row>
    <row r="12" spans="1:19" s="105" customFormat="1" x14ac:dyDescent="0.2">
      <c r="A12" s="99"/>
      <c r="B12" s="99" t="s">
        <v>605</v>
      </c>
      <c r="C12" s="99"/>
      <c r="D12" s="99"/>
      <c r="E12" s="99"/>
      <c r="F12" s="99"/>
      <c r="G12" s="99"/>
      <c r="H12" s="99"/>
      <c r="I12" s="99"/>
      <c r="K12" s="99"/>
      <c r="L12" s="99"/>
      <c r="M12" s="99"/>
      <c r="N12" s="99"/>
      <c r="O12" s="99"/>
      <c r="P12" s="99"/>
      <c r="Q12" s="99"/>
      <c r="R12" s="99"/>
      <c r="S12" s="99"/>
    </row>
    <row r="13" spans="1:19" s="105" customFormat="1" x14ac:dyDescent="0.2">
      <c r="B13" s="99"/>
      <c r="K13" s="99"/>
      <c r="L13" s="99"/>
      <c r="M13" s="99"/>
      <c r="N13" s="99"/>
      <c r="O13" s="99"/>
      <c r="P13" s="99"/>
      <c r="Q13" s="99"/>
      <c r="R13" s="99"/>
      <c r="S13" s="99"/>
    </row>
    <row r="14" spans="1:19" s="105" customFormat="1" x14ac:dyDescent="0.2">
      <c r="B14" s="99" t="s">
        <v>578</v>
      </c>
      <c r="K14" s="99"/>
      <c r="L14" s="99"/>
      <c r="M14" s="99"/>
      <c r="N14" s="99"/>
      <c r="O14" s="99"/>
      <c r="P14" s="99"/>
      <c r="Q14" s="99"/>
      <c r="R14" s="99"/>
      <c r="S14" s="99"/>
    </row>
    <row r="15" spans="1:19" s="105" customFormat="1" x14ac:dyDescent="0.2">
      <c r="B15" s="99" t="s">
        <v>607</v>
      </c>
      <c r="K15" s="99"/>
      <c r="L15" s="99"/>
      <c r="M15" s="99"/>
      <c r="N15" s="99"/>
      <c r="O15" s="99"/>
      <c r="P15" s="99"/>
      <c r="Q15" s="99"/>
      <c r="R15" s="99"/>
      <c r="S15" s="99"/>
    </row>
    <row r="16" spans="1:19" s="105" customFormat="1" x14ac:dyDescent="0.2">
      <c r="B16" s="99" t="s">
        <v>610</v>
      </c>
    </row>
    <row r="17" spans="2:19" s="105" customFormat="1" x14ac:dyDescent="0.2">
      <c r="B17" s="99" t="s">
        <v>611</v>
      </c>
    </row>
    <row r="18" spans="2:19" s="105" customFormat="1" x14ac:dyDescent="0.2">
      <c r="B18" s="99" t="s">
        <v>612</v>
      </c>
    </row>
    <row r="19" spans="2:19" s="105" customFormat="1" ht="15.75" x14ac:dyDescent="0.25">
      <c r="B19" s="99" t="s">
        <v>985</v>
      </c>
      <c r="C19" s="99"/>
      <c r="D19" s="99"/>
      <c r="E19" s="99"/>
      <c r="F19" s="99"/>
      <c r="G19" s="99"/>
      <c r="H19" s="99"/>
      <c r="I19" s="99"/>
    </row>
    <row r="20" spans="2:19" s="105" customFormat="1" x14ac:dyDescent="0.2">
      <c r="B20" s="99" t="s">
        <v>984</v>
      </c>
      <c r="C20" s="99"/>
      <c r="D20" s="99"/>
      <c r="E20" s="99"/>
      <c r="F20" s="99"/>
      <c r="G20" s="99"/>
      <c r="H20" s="99"/>
      <c r="I20" s="99"/>
    </row>
    <row r="21" spans="2:19" s="105" customFormat="1" x14ac:dyDescent="0.2">
      <c r="B21" s="99"/>
      <c r="C21" s="99"/>
      <c r="D21" s="99"/>
      <c r="E21" s="99"/>
      <c r="F21" s="99"/>
      <c r="G21" s="99"/>
      <c r="H21" s="99"/>
      <c r="I21" s="99"/>
    </row>
    <row r="22" spans="2:19" s="105" customFormat="1" x14ac:dyDescent="0.2">
      <c r="B22" s="99"/>
      <c r="C22" s="99"/>
      <c r="D22" s="99"/>
      <c r="E22" s="99"/>
      <c r="F22" s="99"/>
      <c r="G22" s="99"/>
      <c r="H22" s="99"/>
      <c r="I22" s="99"/>
    </row>
    <row r="23" spans="2:19" s="105" customFormat="1" ht="15.75" x14ac:dyDescent="0.25">
      <c r="B23" s="99"/>
      <c r="C23" s="99"/>
      <c r="D23" s="99"/>
      <c r="E23" s="322"/>
      <c r="F23" s="322" t="s">
        <v>613</v>
      </c>
      <c r="G23" s="99"/>
      <c r="H23" s="99"/>
      <c r="I23" s="99"/>
      <c r="L23" s="96"/>
      <c r="M23" s="96"/>
      <c r="N23" s="96"/>
      <c r="O23" s="96"/>
      <c r="P23" s="96"/>
      <c r="Q23" s="96"/>
      <c r="R23" s="96"/>
      <c r="S23" s="96"/>
    </row>
    <row r="24" spans="2:19" s="105" customFormat="1" ht="15.75" x14ac:dyDescent="0.25">
      <c r="B24" s="99"/>
      <c r="C24" s="99"/>
      <c r="D24" s="99"/>
      <c r="E24" s="322"/>
      <c r="F24" s="322"/>
      <c r="G24" s="99"/>
      <c r="H24" s="99"/>
      <c r="I24" s="99"/>
      <c r="L24" s="96"/>
      <c r="M24" s="96"/>
      <c r="N24" s="96"/>
      <c r="O24" s="96"/>
      <c r="P24" s="96"/>
      <c r="Q24" s="96"/>
      <c r="R24" s="96"/>
      <c r="S24" s="96"/>
    </row>
    <row r="25" spans="2:19" s="105" customFormat="1" ht="15.75" x14ac:dyDescent="0.25">
      <c r="B25" s="99"/>
      <c r="C25" s="99"/>
      <c r="D25" s="99"/>
      <c r="E25" s="99"/>
      <c r="F25" s="322" t="s">
        <v>571</v>
      </c>
      <c r="G25" s="322" t="s">
        <v>259</v>
      </c>
      <c r="H25" s="99"/>
      <c r="I25" s="99"/>
      <c r="L25" s="96"/>
      <c r="M25" s="96"/>
      <c r="N25" s="229"/>
      <c r="O25" s="229"/>
      <c r="P25" s="96"/>
      <c r="Q25" s="96"/>
      <c r="R25" s="96"/>
      <c r="S25" s="96"/>
    </row>
    <row r="26" spans="2:19" s="105" customFormat="1" ht="15.75" x14ac:dyDescent="0.25">
      <c r="B26" s="99"/>
      <c r="C26" s="99"/>
      <c r="D26" s="99"/>
      <c r="E26" s="322"/>
      <c r="F26" s="322" t="s">
        <v>572</v>
      </c>
      <c r="G26" s="322" t="s">
        <v>260</v>
      </c>
      <c r="H26" s="99"/>
      <c r="I26" s="99"/>
      <c r="L26" s="96"/>
      <c r="M26" s="229"/>
      <c r="N26" s="229"/>
      <c r="O26" s="229"/>
      <c r="P26" s="96"/>
      <c r="Q26" s="96"/>
      <c r="R26" s="96"/>
      <c r="S26" s="96"/>
    </row>
    <row r="27" spans="2:19" s="105" customFormat="1" ht="15.75" x14ac:dyDescent="0.25">
      <c r="B27" s="99"/>
      <c r="C27" s="99"/>
      <c r="D27" s="99"/>
      <c r="E27" s="322" t="s">
        <v>540</v>
      </c>
      <c r="F27" s="322" t="s">
        <v>573</v>
      </c>
      <c r="G27" s="322" t="s">
        <v>427</v>
      </c>
      <c r="H27" s="99"/>
      <c r="I27" s="99"/>
      <c r="L27" s="96"/>
      <c r="M27" s="229"/>
      <c r="N27" s="229"/>
      <c r="O27" s="229"/>
      <c r="P27" s="96"/>
      <c r="Q27" s="96"/>
      <c r="R27" s="96"/>
      <c r="S27" s="96"/>
    </row>
    <row r="28" spans="2:19" s="105" customFormat="1" x14ac:dyDescent="0.2">
      <c r="B28" s="99"/>
      <c r="C28" s="99"/>
      <c r="D28" s="99">
        <v>1</v>
      </c>
      <c r="E28" s="257">
        <v>2017</v>
      </c>
      <c r="F28" s="430">
        <v>245.12</v>
      </c>
      <c r="G28" s="323">
        <f>(F28-F29)/F29</f>
        <v>2.1303545313261694E-2</v>
      </c>
      <c r="H28" s="99"/>
      <c r="I28" s="99"/>
      <c r="L28" s="96"/>
      <c r="M28" s="46"/>
      <c r="N28" s="432"/>
      <c r="O28" s="433"/>
      <c r="P28" s="96"/>
      <c r="Q28" s="96"/>
      <c r="R28" s="96"/>
      <c r="S28" s="96"/>
    </row>
    <row r="29" spans="2:19" s="105" customFormat="1" x14ac:dyDescent="0.2">
      <c r="B29" s="99"/>
      <c r="C29" s="99"/>
      <c r="D29" s="99">
        <v>2</v>
      </c>
      <c r="E29" s="257">
        <v>2016</v>
      </c>
      <c r="F29" s="430">
        <v>240.00700000000001</v>
      </c>
      <c r="G29" s="323">
        <f t="shared" ref="G29" si="0">(F29-F30)/F30</f>
        <v>1.2615128872612551E-2</v>
      </c>
      <c r="H29" s="99"/>
      <c r="I29" s="99"/>
      <c r="L29" s="96"/>
      <c r="M29" s="46"/>
      <c r="N29" s="432"/>
      <c r="O29" s="433"/>
      <c r="P29" s="96"/>
      <c r="Q29" s="96"/>
      <c r="R29" s="96"/>
      <c r="S29" s="96"/>
    </row>
    <row r="30" spans="2:19" s="105" customFormat="1" x14ac:dyDescent="0.2">
      <c r="B30" s="99"/>
      <c r="C30" s="99"/>
      <c r="D30" s="99">
        <v>3</v>
      </c>
      <c r="E30" s="257">
        <v>2015</v>
      </c>
      <c r="F30" s="430">
        <v>237.017</v>
      </c>
      <c r="G30" s="323">
        <f>(F30-F31)/F31</f>
        <v>1.1869762097864538E-3</v>
      </c>
      <c r="H30" s="99"/>
      <c r="I30" s="116"/>
      <c r="L30" s="96"/>
      <c r="M30" s="46"/>
      <c r="N30" s="432"/>
      <c r="O30" s="433"/>
      <c r="P30" s="96"/>
      <c r="Q30" s="96"/>
      <c r="R30" s="96"/>
      <c r="S30" s="96"/>
    </row>
    <row r="31" spans="2:19" s="105" customFormat="1" x14ac:dyDescent="0.2">
      <c r="B31" s="99"/>
      <c r="C31" s="99"/>
      <c r="D31" s="99">
        <v>4</v>
      </c>
      <c r="E31" s="257">
        <f t="shared" ref="E31:E53" si="1">E32+1</f>
        <v>2014</v>
      </c>
      <c r="F31" s="430">
        <v>236.73599999999999</v>
      </c>
      <c r="G31" s="323">
        <f>(F31-F32)/F32</f>
        <v>1.6221877857286952E-2</v>
      </c>
      <c r="H31" s="99"/>
      <c r="I31" s="116"/>
      <c r="L31" s="96"/>
      <c r="M31" s="46"/>
      <c r="N31" s="432"/>
      <c r="O31" s="433"/>
      <c r="P31" s="96"/>
      <c r="Q31" s="96"/>
      <c r="R31" s="96"/>
      <c r="S31" s="96"/>
    </row>
    <row r="32" spans="2:19" s="105" customFormat="1" x14ac:dyDescent="0.2">
      <c r="B32" s="99"/>
      <c r="C32" s="99"/>
      <c r="D32" s="99">
        <v>5</v>
      </c>
      <c r="E32" s="257">
        <f t="shared" si="1"/>
        <v>2013</v>
      </c>
      <c r="F32" s="430">
        <v>232.95699999999999</v>
      </c>
      <c r="G32" s="323">
        <f t="shared" ref="G32:G53" si="2">(F32-F33)/F33</f>
        <v>1.4647595320435202E-2</v>
      </c>
      <c r="H32" s="99"/>
      <c r="I32" s="116"/>
      <c r="L32" s="96"/>
      <c r="M32" s="46"/>
      <c r="N32" s="432"/>
      <c r="O32" s="433"/>
      <c r="P32" s="96"/>
      <c r="Q32" s="96"/>
      <c r="R32" s="96"/>
      <c r="S32" s="96"/>
    </row>
    <row r="33" spans="2:19" s="105" customFormat="1" x14ac:dyDescent="0.2">
      <c r="B33" s="99"/>
      <c r="C33" s="99"/>
      <c r="D33" s="99">
        <v>6</v>
      </c>
      <c r="E33" s="257">
        <f t="shared" si="1"/>
        <v>2012</v>
      </c>
      <c r="F33" s="430">
        <v>229.59399999999999</v>
      </c>
      <c r="G33" s="323">
        <f t="shared" si="2"/>
        <v>2.0694499397614471E-2</v>
      </c>
      <c r="H33" s="99"/>
      <c r="I33" s="116"/>
      <c r="L33" s="96"/>
      <c r="M33" s="46"/>
      <c r="N33" s="432"/>
      <c r="O33" s="433"/>
      <c r="P33" s="96"/>
      <c r="Q33" s="96"/>
      <c r="R33" s="96"/>
      <c r="S33" s="96"/>
    </row>
    <row r="34" spans="2:19" s="105" customFormat="1" x14ac:dyDescent="0.2">
      <c r="B34" s="99"/>
      <c r="C34" s="99"/>
      <c r="D34" s="99">
        <v>7</v>
      </c>
      <c r="E34" s="257">
        <f t="shared" si="1"/>
        <v>2011</v>
      </c>
      <c r="F34" s="430">
        <v>224.93899999999999</v>
      </c>
      <c r="G34" s="323">
        <f t="shared" si="2"/>
        <v>3.1565285981582626E-2</v>
      </c>
      <c r="H34" s="99"/>
      <c r="I34" s="116"/>
      <c r="L34" s="96"/>
      <c r="M34" s="46"/>
      <c r="N34" s="432"/>
      <c r="O34" s="433"/>
      <c r="P34" s="96"/>
      <c r="Q34" s="96"/>
      <c r="R34" s="96"/>
      <c r="S34" s="96"/>
    </row>
    <row r="35" spans="2:19" s="105" customFormat="1" x14ac:dyDescent="0.2">
      <c r="B35" s="99"/>
      <c r="C35" s="99"/>
      <c r="D35" s="99">
        <v>8</v>
      </c>
      <c r="E35" s="257">
        <f t="shared" si="1"/>
        <v>2010</v>
      </c>
      <c r="F35" s="430">
        <v>218.05600000000001</v>
      </c>
      <c r="G35" s="323">
        <f>(F35-F36)/F36</f>
        <v>1.6402765024214963E-2</v>
      </c>
      <c r="H35" s="99"/>
      <c r="I35" s="116"/>
      <c r="L35" s="96"/>
      <c r="M35" s="46"/>
      <c r="N35" s="432"/>
      <c r="O35" s="433"/>
      <c r="P35" s="96"/>
      <c r="Q35" s="96"/>
      <c r="R35" s="96"/>
      <c r="S35" s="96"/>
    </row>
    <row r="36" spans="2:19" s="105" customFormat="1" x14ac:dyDescent="0.2">
      <c r="B36" s="99"/>
      <c r="C36" s="99"/>
      <c r="D36" s="99">
        <v>9</v>
      </c>
      <c r="E36" s="257">
        <f t="shared" si="1"/>
        <v>2009</v>
      </c>
      <c r="F36" s="430">
        <v>214.53700000000001</v>
      </c>
      <c r="G36" s="323">
        <f t="shared" si="2"/>
        <v>-3.5577767146764846E-3</v>
      </c>
      <c r="H36" s="99"/>
      <c r="I36" s="116"/>
      <c r="L36" s="96"/>
      <c r="M36" s="46"/>
      <c r="N36" s="432"/>
      <c r="O36" s="433"/>
      <c r="P36" s="96"/>
      <c r="Q36" s="96"/>
      <c r="R36" s="96"/>
      <c r="S36" s="96"/>
    </row>
    <row r="37" spans="2:19" s="105" customFormat="1" x14ac:dyDescent="0.2">
      <c r="B37" s="99"/>
      <c r="C37" s="99"/>
      <c r="D37" s="99">
        <v>10</v>
      </c>
      <c r="E37" s="257">
        <f t="shared" si="1"/>
        <v>2008</v>
      </c>
      <c r="F37" s="430">
        <v>215.303</v>
      </c>
      <c r="G37" s="323">
        <f t="shared" si="2"/>
        <v>3.8395501152684856E-2</v>
      </c>
      <c r="H37" s="99"/>
      <c r="I37" s="116"/>
      <c r="L37" s="96"/>
      <c r="M37" s="46"/>
      <c r="N37" s="432"/>
      <c r="O37" s="433"/>
      <c r="P37" s="96"/>
      <c r="Q37" s="96"/>
      <c r="R37" s="96"/>
      <c r="S37" s="96"/>
    </row>
    <row r="38" spans="2:19" s="105" customFormat="1" x14ac:dyDescent="0.2">
      <c r="B38" s="99"/>
      <c r="C38" s="99"/>
      <c r="D38" s="99">
        <v>11</v>
      </c>
      <c r="E38" s="257">
        <f t="shared" si="1"/>
        <v>2007</v>
      </c>
      <c r="F38" s="430">
        <v>207.34200000000001</v>
      </c>
      <c r="G38" s="323">
        <f t="shared" si="2"/>
        <v>2.8482142857142949E-2</v>
      </c>
      <c r="H38" s="99"/>
      <c r="I38" s="116"/>
      <c r="L38" s="96"/>
      <c r="M38" s="46"/>
      <c r="N38" s="432"/>
      <c r="O38" s="433"/>
      <c r="P38" s="96"/>
      <c r="Q38" s="96"/>
      <c r="R38" s="96"/>
      <c r="S38" s="96"/>
    </row>
    <row r="39" spans="2:19" s="105" customFormat="1" x14ac:dyDescent="0.2">
      <c r="B39" s="99"/>
      <c r="C39" s="99"/>
      <c r="D39" s="99">
        <v>12</v>
      </c>
      <c r="E39" s="257">
        <f t="shared" si="1"/>
        <v>2006</v>
      </c>
      <c r="F39" s="431">
        <v>201.6</v>
      </c>
      <c r="G39" s="323">
        <f t="shared" si="2"/>
        <v>3.2258064516128941E-2</v>
      </c>
      <c r="H39" s="99"/>
      <c r="I39" s="116"/>
      <c r="L39" s="96"/>
      <c r="M39" s="46"/>
      <c r="N39" s="434"/>
      <c r="O39" s="433"/>
      <c r="P39" s="96"/>
      <c r="Q39" s="96"/>
      <c r="R39" s="96"/>
      <c r="S39" s="96"/>
    </row>
    <row r="40" spans="2:19" s="105" customFormat="1" x14ac:dyDescent="0.2">
      <c r="B40" s="99"/>
      <c r="C40" s="99"/>
      <c r="D40" s="99">
        <v>13</v>
      </c>
      <c r="E40" s="257">
        <f t="shared" si="1"/>
        <v>2005</v>
      </c>
      <c r="F40" s="431">
        <v>195.3</v>
      </c>
      <c r="G40" s="323">
        <f t="shared" si="2"/>
        <v>3.3880359978824805E-2</v>
      </c>
      <c r="H40" s="99"/>
      <c r="I40" s="116"/>
      <c r="L40" s="96"/>
      <c r="M40" s="46"/>
      <c r="N40" s="434"/>
      <c r="O40" s="433"/>
      <c r="P40" s="96"/>
      <c r="Q40" s="96"/>
      <c r="R40" s="96"/>
      <c r="S40" s="96"/>
    </row>
    <row r="41" spans="2:19" s="105" customFormat="1" x14ac:dyDescent="0.2">
      <c r="B41" s="99"/>
      <c r="C41" s="99"/>
      <c r="D41" s="99">
        <v>14</v>
      </c>
      <c r="E41" s="257">
        <f t="shared" si="1"/>
        <v>2004</v>
      </c>
      <c r="F41" s="431">
        <v>188.9</v>
      </c>
      <c r="G41" s="323">
        <f t="shared" si="2"/>
        <v>2.6630434782608726E-2</v>
      </c>
      <c r="H41" s="99"/>
      <c r="I41" s="116"/>
      <c r="L41" s="96"/>
      <c r="M41" s="46"/>
      <c r="N41" s="434"/>
      <c r="O41" s="433"/>
      <c r="P41" s="96"/>
      <c r="Q41" s="96"/>
      <c r="R41" s="96"/>
      <c r="S41" s="96"/>
    </row>
    <row r="42" spans="2:19" s="105" customFormat="1" x14ac:dyDescent="0.2">
      <c r="B42" s="99"/>
      <c r="C42" s="99"/>
      <c r="D42" s="99">
        <v>15</v>
      </c>
      <c r="E42" s="257">
        <f t="shared" si="1"/>
        <v>2003</v>
      </c>
      <c r="F42" s="431">
        <v>184</v>
      </c>
      <c r="G42" s="323">
        <f t="shared" si="2"/>
        <v>2.2790439132851552E-2</v>
      </c>
      <c r="H42" s="99"/>
      <c r="I42" s="116"/>
      <c r="L42" s="96"/>
      <c r="M42" s="46"/>
      <c r="N42" s="434"/>
      <c r="O42" s="433"/>
      <c r="P42" s="96"/>
      <c r="Q42" s="96"/>
      <c r="R42" s="96"/>
      <c r="S42" s="96"/>
    </row>
    <row r="43" spans="2:19" s="105" customFormat="1" x14ac:dyDescent="0.2">
      <c r="B43" s="99"/>
      <c r="C43" s="99"/>
      <c r="D43" s="99">
        <v>16</v>
      </c>
      <c r="E43" s="257">
        <f t="shared" si="1"/>
        <v>2002</v>
      </c>
      <c r="F43" s="431">
        <v>179.9</v>
      </c>
      <c r="G43" s="323">
        <f t="shared" si="2"/>
        <v>1.5810276679841962E-2</v>
      </c>
      <c r="H43" s="99"/>
      <c r="I43" s="116"/>
      <c r="L43" s="96"/>
      <c r="M43" s="46"/>
      <c r="N43" s="434"/>
      <c r="O43" s="433"/>
      <c r="P43" s="96"/>
      <c r="Q43" s="96"/>
      <c r="R43" s="96"/>
      <c r="S43" s="96"/>
    </row>
    <row r="44" spans="2:19" s="105" customFormat="1" x14ac:dyDescent="0.2">
      <c r="B44" s="99"/>
      <c r="C44" s="99"/>
      <c r="D44" s="99">
        <v>17</v>
      </c>
      <c r="E44" s="257">
        <f t="shared" si="1"/>
        <v>2001</v>
      </c>
      <c r="F44" s="431">
        <v>177.1</v>
      </c>
      <c r="G44" s="323">
        <f t="shared" si="2"/>
        <v>2.8455284552845562E-2</v>
      </c>
      <c r="H44" s="99"/>
      <c r="I44" s="116"/>
      <c r="L44" s="96"/>
      <c r="M44" s="46"/>
      <c r="N44" s="434"/>
      <c r="O44" s="433"/>
      <c r="P44" s="96"/>
      <c r="Q44" s="96"/>
      <c r="R44" s="96"/>
      <c r="S44" s="96"/>
    </row>
    <row r="45" spans="2:19" s="105" customFormat="1" x14ac:dyDescent="0.2">
      <c r="B45" s="99"/>
      <c r="C45" s="99"/>
      <c r="D45" s="99">
        <v>18</v>
      </c>
      <c r="E45" s="257">
        <f t="shared" si="1"/>
        <v>2000</v>
      </c>
      <c r="F45" s="431">
        <v>172.2</v>
      </c>
      <c r="G45" s="323">
        <f t="shared" si="2"/>
        <v>3.3613445378151224E-2</v>
      </c>
      <c r="H45" s="99"/>
      <c r="I45" s="116"/>
      <c r="L45" s="96"/>
      <c r="M45" s="46"/>
      <c r="N45" s="434"/>
      <c r="O45" s="433"/>
      <c r="P45" s="96"/>
      <c r="Q45" s="96"/>
      <c r="R45" s="96"/>
      <c r="S45" s="96"/>
    </row>
    <row r="46" spans="2:19" s="105" customFormat="1" x14ac:dyDescent="0.2">
      <c r="B46" s="99"/>
      <c r="C46" s="99"/>
      <c r="D46" s="99">
        <v>19</v>
      </c>
      <c r="E46" s="257">
        <f t="shared" si="1"/>
        <v>1999</v>
      </c>
      <c r="F46" s="431">
        <v>166.6</v>
      </c>
      <c r="G46" s="323">
        <f t="shared" si="2"/>
        <v>2.2085889570552113E-2</v>
      </c>
      <c r="H46" s="99"/>
      <c r="I46" s="116"/>
      <c r="L46" s="96"/>
      <c r="M46" s="46"/>
      <c r="N46" s="434"/>
      <c r="O46" s="433"/>
      <c r="P46" s="96"/>
      <c r="Q46" s="96"/>
      <c r="R46" s="96"/>
      <c r="S46" s="96"/>
    </row>
    <row r="47" spans="2:19" s="105" customFormat="1" x14ac:dyDescent="0.2">
      <c r="B47" s="99"/>
      <c r="C47" s="99"/>
      <c r="D47" s="99">
        <v>20</v>
      </c>
      <c r="E47" s="257">
        <f t="shared" si="1"/>
        <v>1998</v>
      </c>
      <c r="F47" s="431">
        <v>163</v>
      </c>
      <c r="G47" s="323">
        <f t="shared" si="2"/>
        <v>1.5576323987538941E-2</v>
      </c>
      <c r="H47" s="99"/>
      <c r="I47" s="116"/>
      <c r="L47" s="96"/>
      <c r="M47" s="46"/>
      <c r="N47" s="434"/>
      <c r="O47" s="433"/>
      <c r="P47" s="96"/>
      <c r="Q47" s="96"/>
      <c r="R47" s="96"/>
      <c r="S47" s="96"/>
    </row>
    <row r="48" spans="2:19" s="105" customFormat="1" x14ac:dyDescent="0.2">
      <c r="B48" s="99"/>
      <c r="C48" s="99"/>
      <c r="D48" s="99">
        <v>21</v>
      </c>
      <c r="E48" s="257">
        <f t="shared" si="1"/>
        <v>1997</v>
      </c>
      <c r="F48" s="431">
        <v>160.5</v>
      </c>
      <c r="G48" s="323">
        <f t="shared" si="2"/>
        <v>2.2944550669216024E-2</v>
      </c>
      <c r="H48" s="99"/>
      <c r="I48" s="99"/>
      <c r="L48" s="96"/>
      <c r="M48" s="46"/>
      <c r="N48" s="434"/>
      <c r="O48" s="433"/>
      <c r="P48" s="96"/>
      <c r="Q48" s="96"/>
      <c r="R48" s="96"/>
      <c r="S48" s="96"/>
    </row>
    <row r="49" spans="1:19" s="105" customFormat="1" x14ac:dyDescent="0.2">
      <c r="B49" s="326"/>
      <c r="C49" s="326"/>
      <c r="D49" s="99">
        <v>22</v>
      </c>
      <c r="E49" s="257">
        <f t="shared" si="1"/>
        <v>1996</v>
      </c>
      <c r="F49" s="431">
        <v>156.9</v>
      </c>
      <c r="G49" s="323">
        <f t="shared" si="2"/>
        <v>2.952755905511811E-2</v>
      </c>
      <c r="H49" s="99"/>
      <c r="I49" s="99"/>
      <c r="L49" s="96"/>
      <c r="M49" s="46"/>
      <c r="N49" s="434"/>
      <c r="O49" s="433"/>
      <c r="P49" s="96"/>
      <c r="Q49" s="96"/>
      <c r="R49" s="96"/>
      <c r="S49" s="96"/>
    </row>
    <row r="50" spans="1:19" ht="15.75" x14ac:dyDescent="0.25">
      <c r="B50" s="2"/>
      <c r="C50" s="2"/>
      <c r="D50" s="99">
        <v>23</v>
      </c>
      <c r="E50" s="257">
        <f t="shared" si="1"/>
        <v>1995</v>
      </c>
      <c r="F50" s="431">
        <v>152.4</v>
      </c>
      <c r="G50" s="323">
        <f t="shared" si="2"/>
        <v>2.8340080971660037E-2</v>
      </c>
      <c r="H50" s="2"/>
      <c r="I50" s="2"/>
      <c r="L50" s="96"/>
      <c r="M50" s="46"/>
      <c r="N50" s="434"/>
      <c r="O50" s="433"/>
      <c r="P50" s="435"/>
      <c r="Q50" s="435"/>
      <c r="R50" s="435"/>
      <c r="S50" s="435"/>
    </row>
    <row r="51" spans="1:19" ht="15.75" x14ac:dyDescent="0.25">
      <c r="B51" s="2"/>
      <c r="C51" s="2"/>
      <c r="D51" s="99">
        <v>24</v>
      </c>
      <c r="E51" s="257">
        <f t="shared" si="1"/>
        <v>1994</v>
      </c>
      <c r="F51" s="431">
        <v>148.19999999999999</v>
      </c>
      <c r="G51" s="323">
        <f t="shared" si="2"/>
        <v>2.5605536332179851E-2</v>
      </c>
      <c r="H51" s="2"/>
      <c r="I51" s="2"/>
      <c r="L51" s="96"/>
      <c r="M51" s="46"/>
      <c r="N51" s="434"/>
      <c r="O51" s="433"/>
      <c r="P51" s="435"/>
      <c r="Q51" s="435"/>
      <c r="R51" s="435"/>
      <c r="S51" s="435"/>
    </row>
    <row r="52" spans="1:19" ht="15.75" x14ac:dyDescent="0.25">
      <c r="B52" s="2"/>
      <c r="C52" s="2"/>
      <c r="D52" s="99">
        <v>25</v>
      </c>
      <c r="E52" s="257">
        <f t="shared" si="1"/>
        <v>1993</v>
      </c>
      <c r="F52" s="431">
        <v>144.5</v>
      </c>
      <c r="G52" s="323">
        <f t="shared" si="2"/>
        <v>2.9935851746257933E-2</v>
      </c>
      <c r="H52" s="2"/>
      <c r="I52" s="2"/>
      <c r="L52" s="96"/>
      <c r="M52" s="46"/>
      <c r="N52" s="434"/>
      <c r="O52" s="433"/>
      <c r="P52" s="435"/>
      <c r="Q52" s="435"/>
      <c r="R52" s="435"/>
      <c r="S52" s="435"/>
    </row>
    <row r="53" spans="1:19" ht="15.75" x14ac:dyDescent="0.25">
      <c r="B53" s="2"/>
      <c r="C53" s="2"/>
      <c r="D53" s="99">
        <v>26</v>
      </c>
      <c r="E53" s="257">
        <f t="shared" si="1"/>
        <v>1992</v>
      </c>
      <c r="F53" s="431">
        <v>140.30000000000001</v>
      </c>
      <c r="G53" s="323">
        <f t="shared" si="2"/>
        <v>3.0102790014684456E-2</v>
      </c>
      <c r="H53" s="2"/>
      <c r="I53" s="2"/>
      <c r="L53" s="96"/>
      <c r="M53" s="46"/>
      <c r="N53" s="434"/>
      <c r="O53" s="433"/>
      <c r="P53" s="435"/>
      <c r="Q53" s="435"/>
      <c r="R53" s="435"/>
      <c r="S53" s="435"/>
    </row>
    <row r="54" spans="1:19" ht="15.75" x14ac:dyDescent="0.25">
      <c r="B54" s="2"/>
      <c r="C54" s="2"/>
      <c r="D54" s="99">
        <v>27</v>
      </c>
      <c r="E54" s="257">
        <f>E55+1</f>
        <v>1991</v>
      </c>
      <c r="F54" s="431">
        <v>136.19999999999999</v>
      </c>
      <c r="G54" s="323">
        <f>(F54-F55)/F55</f>
        <v>4.2081101759755171E-2</v>
      </c>
      <c r="H54" s="2"/>
      <c r="I54" s="2"/>
      <c r="L54" s="96"/>
      <c r="M54" s="46"/>
      <c r="N54" s="434"/>
      <c r="O54" s="433"/>
      <c r="P54" s="435"/>
      <c r="Q54" s="435"/>
      <c r="R54" s="435"/>
      <c r="S54" s="435"/>
    </row>
    <row r="55" spans="1:19" ht="16.5" thickBot="1" x14ac:dyDescent="0.3">
      <c r="B55" s="2"/>
      <c r="C55" s="2"/>
      <c r="D55" s="99"/>
      <c r="E55" s="257">
        <v>1990</v>
      </c>
      <c r="F55" s="431">
        <v>130.69999999999999</v>
      </c>
      <c r="G55" s="99"/>
      <c r="H55" s="2"/>
      <c r="I55" s="2"/>
      <c r="L55" s="96"/>
      <c r="M55" s="46"/>
      <c r="N55" s="434"/>
      <c r="O55" s="96"/>
      <c r="P55" s="435"/>
      <c r="Q55" s="435"/>
      <c r="R55" s="435"/>
      <c r="S55" s="435"/>
    </row>
    <row r="56" spans="1:19" ht="16.5" thickTop="1" x14ac:dyDescent="0.25">
      <c r="B56" s="2"/>
      <c r="C56" s="2"/>
      <c r="D56" s="326"/>
      <c r="E56" s="2"/>
      <c r="F56" s="295" t="s">
        <v>862</v>
      </c>
      <c r="G56" s="338">
        <f t="array" ref="G56">GEOMEAN(1+G28:G54)-1</f>
        <v>2.3563832784155192E-2</v>
      </c>
      <c r="H56" s="2"/>
      <c r="I56" s="2"/>
      <c r="L56" s="436"/>
      <c r="M56" s="435"/>
      <c r="N56" s="437"/>
      <c r="O56" s="339"/>
      <c r="P56" s="435"/>
      <c r="Q56" s="435"/>
      <c r="R56" s="435"/>
      <c r="S56" s="435"/>
    </row>
    <row r="57" spans="1:19" ht="15.75" x14ac:dyDescent="0.25">
      <c r="B57" s="2"/>
      <c r="C57" s="2"/>
      <c r="D57" s="326"/>
      <c r="E57" s="2"/>
      <c r="F57" s="295"/>
      <c r="G57" s="339"/>
      <c r="H57" s="2"/>
      <c r="I57" s="2"/>
    </row>
    <row r="58" spans="1:19" ht="15.75" x14ac:dyDescent="0.25">
      <c r="A58" s="13" t="s">
        <v>435</v>
      </c>
      <c r="B58" s="86"/>
      <c r="C58" s="319"/>
      <c r="D58" s="320"/>
      <c r="E58" s="84"/>
      <c r="F58" s="86"/>
      <c r="G58" s="319"/>
      <c r="H58" s="321"/>
      <c r="I58" s="87"/>
      <c r="J58" s="87"/>
    </row>
    <row r="59" spans="1:19" ht="15.75" x14ac:dyDescent="0.25">
      <c r="A59" s="84"/>
      <c r="B59" s="13" t="s">
        <v>860</v>
      </c>
      <c r="C59" s="84"/>
      <c r="D59" s="84"/>
      <c r="E59" s="84"/>
      <c r="F59" s="84"/>
      <c r="G59" s="84"/>
      <c r="H59" s="87"/>
      <c r="I59" s="87"/>
      <c r="J59" s="87"/>
    </row>
    <row r="60" spans="1:19" ht="327" customHeight="1" x14ac:dyDescent="0.25">
      <c r="A60" s="84"/>
      <c r="B60" s="456" t="s">
        <v>861</v>
      </c>
      <c r="C60" s="456"/>
      <c r="D60" s="456"/>
      <c r="E60" s="456"/>
      <c r="F60" s="456"/>
      <c r="G60" s="456"/>
      <c r="H60" s="456"/>
      <c r="I60" s="456"/>
      <c r="J60" s="456"/>
    </row>
  </sheetData>
  <mergeCells count="2">
    <mergeCell ref="B2:I4"/>
    <mergeCell ref="B60:J60"/>
  </mergeCells>
  <printOptions horizontalCentered="1"/>
  <pageMargins left="0.5" right="0.5" top="0.7" bottom="0.7" header="0.5" footer="0.5"/>
  <pageSetup scale="8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T54"/>
  <sheetViews>
    <sheetView workbookViewId="0"/>
  </sheetViews>
  <sheetFormatPr defaultRowHeight="15" x14ac:dyDescent="0.25"/>
  <cols>
    <col min="1" max="1" width="3" customWidth="1"/>
    <col min="2" max="5" width="9.5703125" customWidth="1"/>
    <col min="6" max="6" width="13.85546875" customWidth="1"/>
    <col min="7" max="7" width="9.5703125" customWidth="1"/>
    <col min="8" max="8" width="12.85546875" bestFit="1" customWidth="1"/>
    <col min="9" max="9" width="10.7109375" customWidth="1"/>
    <col min="10" max="10" width="12.5703125" customWidth="1"/>
  </cols>
  <sheetData>
    <row r="1" spans="2:18" ht="15.75" x14ac:dyDescent="0.25">
      <c r="H1" s="2"/>
      <c r="I1" s="2"/>
      <c r="J1" s="2"/>
      <c r="L1" s="335"/>
      <c r="M1" s="2"/>
      <c r="N1" s="2"/>
      <c r="O1" s="2"/>
      <c r="P1" s="2"/>
      <c r="Q1" s="2"/>
      <c r="R1" s="2"/>
    </row>
    <row r="2" spans="2:18" ht="35.25" customHeight="1" x14ac:dyDescent="0.25">
      <c r="B2" s="455" t="s">
        <v>629</v>
      </c>
      <c r="C2" s="455"/>
      <c r="D2" s="455"/>
      <c r="E2" s="455"/>
      <c r="F2" s="455"/>
      <c r="G2" s="455"/>
      <c r="H2" s="455"/>
      <c r="I2" s="455"/>
      <c r="J2" s="455"/>
      <c r="L2" s="11"/>
      <c r="M2" s="2"/>
      <c r="N2" s="2"/>
      <c r="O2" s="2"/>
      <c r="P2" s="2"/>
      <c r="Q2" s="2"/>
      <c r="R2" s="2"/>
    </row>
    <row r="3" spans="2:18" s="105" customFormat="1" ht="15.75" x14ac:dyDescent="0.2">
      <c r="B3" s="247"/>
      <c r="C3" s="247"/>
      <c r="D3" s="247"/>
      <c r="E3" s="247"/>
      <c r="F3" s="247"/>
      <c r="G3" s="247"/>
      <c r="H3" s="248"/>
      <c r="I3" s="248"/>
      <c r="J3" s="248"/>
      <c r="L3" s="11"/>
      <c r="M3" s="99"/>
      <c r="N3" s="99"/>
      <c r="O3" s="99"/>
      <c r="P3" s="99"/>
      <c r="Q3" s="99"/>
      <c r="R3" s="99"/>
    </row>
    <row r="4" spans="2:18" s="105" customFormat="1" x14ac:dyDescent="0.2">
      <c r="B4" s="244" t="s">
        <v>574</v>
      </c>
      <c r="H4" s="99"/>
      <c r="I4" s="99"/>
      <c r="J4" s="119" t="str">
        <f>General!$D$1</f>
        <v>Questa Mine Site</v>
      </c>
      <c r="L4" s="11"/>
      <c r="M4" s="99"/>
      <c r="N4" s="99"/>
      <c r="O4" s="99"/>
      <c r="P4" s="99"/>
      <c r="Q4" s="99"/>
      <c r="R4" s="99"/>
    </row>
    <row r="5" spans="2:18" s="105" customFormat="1" x14ac:dyDescent="0.2">
      <c r="H5" s="99"/>
      <c r="I5" s="99"/>
      <c r="J5" s="246" t="s">
        <v>631</v>
      </c>
      <c r="L5" s="11"/>
      <c r="M5" s="99"/>
      <c r="N5" s="99"/>
      <c r="O5" s="99"/>
      <c r="P5" s="99"/>
      <c r="Q5" s="99"/>
      <c r="R5" s="99"/>
    </row>
    <row r="6" spans="2:18" s="105" customFormat="1" x14ac:dyDescent="0.2">
      <c r="H6" s="99"/>
      <c r="I6" s="55"/>
      <c r="J6" s="107">
        <f>General!$D$2</f>
        <v>37256</v>
      </c>
      <c r="L6" s="99"/>
      <c r="M6" s="99"/>
      <c r="N6" s="99"/>
      <c r="O6" s="99"/>
      <c r="P6" s="99"/>
      <c r="Q6" s="99"/>
      <c r="R6" s="99"/>
    </row>
    <row r="7" spans="2:18" s="105" customFormat="1" x14ac:dyDescent="0.2">
      <c r="H7" s="99"/>
      <c r="I7" s="67" t="str">
        <f>General!$C$3</f>
        <v>Updated by Kiewit/AECOM</v>
      </c>
      <c r="J7" s="107">
        <f>General!$D$3</f>
        <v>43419</v>
      </c>
      <c r="L7" s="335"/>
      <c r="M7" s="99"/>
      <c r="N7" s="99"/>
      <c r="O7" s="99"/>
      <c r="P7" s="99"/>
      <c r="Q7" s="99"/>
      <c r="R7" s="99"/>
    </row>
    <row r="8" spans="2:18" s="105" customFormat="1" x14ac:dyDescent="0.2">
      <c r="L8" s="99"/>
      <c r="M8" s="99"/>
      <c r="N8" s="99"/>
      <c r="O8" s="99"/>
      <c r="P8" s="99"/>
      <c r="Q8" s="99"/>
      <c r="R8" s="99"/>
    </row>
    <row r="9" spans="2:18" s="105" customFormat="1" x14ac:dyDescent="0.2">
      <c r="B9" s="105" t="s">
        <v>615</v>
      </c>
      <c r="L9" s="99"/>
      <c r="M9" s="99"/>
      <c r="N9" s="99"/>
      <c r="O9" s="99"/>
      <c r="P9" s="99"/>
      <c r="Q9" s="99"/>
      <c r="R9" s="99"/>
    </row>
    <row r="10" spans="2:18" s="105" customFormat="1" x14ac:dyDescent="0.2">
      <c r="B10" s="105" t="s">
        <v>617</v>
      </c>
      <c r="L10" s="99"/>
      <c r="M10" s="99"/>
      <c r="N10" s="99"/>
      <c r="O10" s="99"/>
      <c r="P10" s="99"/>
      <c r="Q10" s="99"/>
      <c r="R10" s="99"/>
    </row>
    <row r="11" spans="2:18" s="105" customFormat="1" x14ac:dyDescent="0.2">
      <c r="L11" s="99"/>
      <c r="M11" s="99"/>
      <c r="N11" s="99"/>
      <c r="O11" s="99"/>
      <c r="P11" s="99"/>
      <c r="Q11" s="99"/>
      <c r="R11" s="99"/>
    </row>
    <row r="12" spans="2:18" s="105" customFormat="1" ht="15.75" x14ac:dyDescent="0.25">
      <c r="B12" s="105" t="s">
        <v>618</v>
      </c>
      <c r="L12" s="99"/>
      <c r="M12" s="99"/>
      <c r="N12" s="99"/>
      <c r="O12" s="99"/>
      <c r="P12" s="99"/>
      <c r="Q12" s="99"/>
      <c r="R12" s="99"/>
    </row>
    <row r="13" spans="2:18" s="105" customFormat="1" ht="15.75" x14ac:dyDescent="0.25">
      <c r="B13" s="105" t="s">
        <v>619</v>
      </c>
      <c r="L13" s="99"/>
      <c r="M13" s="99"/>
      <c r="N13" s="99"/>
      <c r="O13" s="99"/>
      <c r="P13" s="99"/>
      <c r="Q13" s="99"/>
      <c r="R13" s="99"/>
    </row>
    <row r="14" spans="2:18" s="105" customFormat="1" x14ac:dyDescent="0.2">
      <c r="B14" s="105" t="s">
        <v>620</v>
      </c>
    </row>
    <row r="15" spans="2:18" s="105" customFormat="1" x14ac:dyDescent="0.2">
      <c r="B15" s="105" t="s">
        <v>621</v>
      </c>
    </row>
    <row r="16" spans="2:18" s="105" customFormat="1" x14ac:dyDescent="0.2">
      <c r="B16" s="99" t="s">
        <v>863</v>
      </c>
      <c r="C16" s="99"/>
      <c r="D16" s="99"/>
      <c r="E16" s="99"/>
      <c r="F16" s="99"/>
      <c r="G16" s="99"/>
      <c r="H16" s="99"/>
      <c r="I16" s="99"/>
      <c r="J16" s="99"/>
    </row>
    <row r="17" spans="2:20" s="105" customFormat="1" x14ac:dyDescent="0.2">
      <c r="B17" s="99"/>
      <c r="C17" s="99"/>
      <c r="D17" s="99"/>
      <c r="E17" s="99"/>
      <c r="F17" s="99"/>
      <c r="G17" s="99"/>
      <c r="H17" s="99"/>
      <c r="I17" s="99"/>
      <c r="J17" s="99"/>
    </row>
    <row r="18" spans="2:20" s="105" customFormat="1" x14ac:dyDescent="0.2">
      <c r="B18" s="99"/>
      <c r="C18" s="99"/>
      <c r="D18" s="99"/>
      <c r="E18" s="99"/>
      <c r="F18" s="99"/>
      <c r="G18" s="99"/>
      <c r="H18" s="99"/>
      <c r="I18" s="99"/>
      <c r="J18" s="99"/>
    </row>
    <row r="19" spans="2:20" s="105" customFormat="1" ht="15.75" x14ac:dyDescent="0.25">
      <c r="B19" s="99"/>
      <c r="C19" s="99"/>
      <c r="D19" s="99"/>
      <c r="E19" s="322"/>
      <c r="F19" s="322" t="s">
        <v>616</v>
      </c>
      <c r="G19" s="99"/>
      <c r="H19" s="99"/>
      <c r="I19" s="99"/>
      <c r="J19" s="99"/>
    </row>
    <row r="20" spans="2:20" s="105" customFormat="1" x14ac:dyDescent="0.2">
      <c r="B20" s="99"/>
      <c r="C20" s="99"/>
      <c r="D20" s="99"/>
      <c r="E20" s="99"/>
      <c r="F20" s="99"/>
      <c r="G20" s="99"/>
      <c r="H20" s="99"/>
      <c r="I20" s="99"/>
      <c r="J20" s="99"/>
    </row>
    <row r="21" spans="2:20" s="105" customFormat="1" ht="15.75" x14ac:dyDescent="0.25">
      <c r="B21" s="99"/>
      <c r="C21" s="99"/>
      <c r="D21" s="99"/>
      <c r="E21" s="322"/>
      <c r="F21" s="322" t="s">
        <v>259</v>
      </c>
      <c r="G21" s="99"/>
      <c r="H21" s="99"/>
      <c r="I21" s="99"/>
      <c r="J21" s="99"/>
    </row>
    <row r="22" spans="2:20" s="105" customFormat="1" ht="15.75" x14ac:dyDescent="0.25">
      <c r="B22" s="99"/>
      <c r="C22" s="99"/>
      <c r="D22" s="99"/>
      <c r="E22" s="322" t="s">
        <v>540</v>
      </c>
      <c r="F22" s="322" t="s">
        <v>575</v>
      </c>
      <c r="G22" s="99"/>
      <c r="H22" s="99"/>
      <c r="I22" s="99"/>
      <c r="J22" s="99"/>
    </row>
    <row r="23" spans="2:20" s="105" customFormat="1" ht="15.75" x14ac:dyDescent="0.25">
      <c r="B23" s="99"/>
      <c r="C23" s="99"/>
      <c r="D23" s="99">
        <v>1</v>
      </c>
      <c r="E23" s="213">
        <v>2017</v>
      </c>
      <c r="F23" s="324">
        <v>3.5400000000000001E-2</v>
      </c>
      <c r="G23" s="99"/>
      <c r="H23" s="340"/>
      <c r="I23" s="99"/>
      <c r="J23" s="99"/>
    </row>
    <row r="24" spans="2:20" s="105" customFormat="1" ht="15.75" x14ac:dyDescent="0.25">
      <c r="B24" s="99"/>
      <c r="C24" s="99"/>
      <c r="D24" s="99">
        <v>2</v>
      </c>
      <c r="E24" s="213">
        <f t="shared" ref="E24:E29" si="0">E25+1</f>
        <v>2016</v>
      </c>
      <c r="F24" s="324">
        <v>2.6499999999999999E-2</v>
      </c>
      <c r="G24" s="99"/>
      <c r="H24" s="340"/>
      <c r="I24" s="99"/>
      <c r="J24" s="99"/>
      <c r="T24" s="112"/>
    </row>
    <row r="25" spans="2:20" s="105" customFormat="1" ht="15.75" x14ac:dyDescent="0.25">
      <c r="B25" s="99"/>
      <c r="C25" s="99"/>
      <c r="D25" s="99">
        <v>3</v>
      </c>
      <c r="E25" s="213">
        <f t="shared" si="0"/>
        <v>2015</v>
      </c>
      <c r="F25" s="324">
        <v>5.4999999999999997E-3</v>
      </c>
      <c r="G25" s="116"/>
      <c r="H25" s="340"/>
      <c r="I25" s="99"/>
      <c r="J25" s="99"/>
      <c r="K25" s="249"/>
      <c r="T25" s="112"/>
    </row>
    <row r="26" spans="2:20" s="105" customFormat="1" ht="15.75" x14ac:dyDescent="0.25">
      <c r="B26" s="99"/>
      <c r="C26" s="99"/>
      <c r="D26" s="99">
        <v>4</v>
      </c>
      <c r="E26" s="213">
        <f t="shared" si="0"/>
        <v>2014</v>
      </c>
      <c r="F26" s="324">
        <v>5.9700000000000003E-2</v>
      </c>
      <c r="G26" s="116"/>
      <c r="H26" s="340"/>
      <c r="I26" s="99"/>
      <c r="J26" s="99"/>
      <c r="K26" s="249"/>
      <c r="T26" s="112"/>
    </row>
    <row r="27" spans="2:20" s="105" customFormat="1" ht="15.75" x14ac:dyDescent="0.25">
      <c r="B27" s="99"/>
      <c r="C27" s="99"/>
      <c r="D27" s="99">
        <v>5</v>
      </c>
      <c r="E27" s="213">
        <f t="shared" si="0"/>
        <v>2013</v>
      </c>
      <c r="F27" s="324">
        <v>-2.0199999999999999E-2</v>
      </c>
      <c r="G27" s="116"/>
      <c r="H27" s="340"/>
      <c r="I27" s="99"/>
      <c r="J27" s="99"/>
      <c r="K27" s="249"/>
      <c r="T27" s="112"/>
    </row>
    <row r="28" spans="2:20" s="105" customFormat="1" ht="15.75" x14ac:dyDescent="0.25">
      <c r="B28" s="99"/>
      <c r="C28" s="99"/>
      <c r="D28" s="99">
        <v>6</v>
      </c>
      <c r="E28" s="213">
        <f t="shared" si="0"/>
        <v>2012</v>
      </c>
      <c r="F28" s="324">
        <v>4.2099999999999999E-2</v>
      </c>
      <c r="G28" s="116"/>
      <c r="H28" s="340"/>
      <c r="I28" s="99"/>
      <c r="J28" s="99"/>
      <c r="K28" s="249"/>
    </row>
    <row r="29" spans="2:20" s="105" customFormat="1" ht="15.75" x14ac:dyDescent="0.25">
      <c r="B29" s="99"/>
      <c r="C29" s="99"/>
      <c r="D29" s="99">
        <v>7</v>
      </c>
      <c r="E29" s="213">
        <f t="shared" si="0"/>
        <v>2011</v>
      </c>
      <c r="F29" s="324">
        <v>7.8399999999999997E-2</v>
      </c>
      <c r="G29" s="116"/>
      <c r="H29" s="340"/>
      <c r="I29" s="99"/>
      <c r="J29" s="99"/>
      <c r="K29" s="249"/>
      <c r="T29" s="112"/>
    </row>
    <row r="30" spans="2:20" s="105" customFormat="1" x14ac:dyDescent="0.2">
      <c r="B30" s="99"/>
      <c r="C30" s="99"/>
      <c r="D30" s="99">
        <v>8</v>
      </c>
      <c r="E30" s="213">
        <f t="shared" ref="E30:E35" si="1">E31+1</f>
        <v>2010</v>
      </c>
      <c r="F30" s="324">
        <v>6.54E-2</v>
      </c>
      <c r="G30" s="116"/>
      <c r="H30" s="341"/>
      <c r="I30" s="99"/>
      <c r="J30" s="99"/>
      <c r="K30" s="249"/>
    </row>
    <row r="31" spans="2:20" s="105" customFormat="1" x14ac:dyDescent="0.2">
      <c r="B31" s="99"/>
      <c r="C31" s="99"/>
      <c r="D31" s="99">
        <v>9</v>
      </c>
      <c r="E31" s="213">
        <f t="shared" si="1"/>
        <v>2009</v>
      </c>
      <c r="F31" s="324">
        <v>5.9299999999999999E-2</v>
      </c>
      <c r="G31" s="99"/>
      <c r="H31" s="341"/>
      <c r="I31" s="99"/>
      <c r="J31" s="99"/>
      <c r="K31" s="249"/>
    </row>
    <row r="32" spans="2:20" s="105" customFormat="1" x14ac:dyDescent="0.2">
      <c r="B32" s="99"/>
      <c r="C32" s="99"/>
      <c r="D32" s="99">
        <v>10</v>
      </c>
      <c r="E32" s="213">
        <f t="shared" si="1"/>
        <v>2008</v>
      </c>
      <c r="F32" s="324">
        <v>5.2400000000000002E-2</v>
      </c>
      <c r="G32" s="99"/>
      <c r="H32" s="341"/>
      <c r="I32" s="99"/>
      <c r="J32" s="99"/>
      <c r="K32" s="249"/>
    </row>
    <row r="33" spans="1:11" s="105" customFormat="1" x14ac:dyDescent="0.2">
      <c r="B33" s="99"/>
      <c r="C33" s="99"/>
      <c r="D33" s="99">
        <v>11</v>
      </c>
      <c r="E33" s="213">
        <f t="shared" si="1"/>
        <v>2007</v>
      </c>
      <c r="F33" s="324">
        <v>6.9699999999999998E-2</v>
      </c>
      <c r="G33" s="99"/>
      <c r="H33" s="341"/>
      <c r="I33" s="99"/>
      <c r="J33" s="99"/>
      <c r="K33" s="249"/>
    </row>
    <row r="34" spans="1:11" s="105" customFormat="1" x14ac:dyDescent="0.2">
      <c r="B34" s="99"/>
      <c r="C34" s="99"/>
      <c r="D34" s="99">
        <v>12</v>
      </c>
      <c r="E34" s="213">
        <f t="shared" si="1"/>
        <v>2006</v>
      </c>
      <c r="F34" s="324">
        <v>4.3299999999999998E-2</v>
      </c>
      <c r="G34" s="99"/>
      <c r="H34" s="341"/>
      <c r="I34" s="99"/>
      <c r="J34" s="99"/>
      <c r="K34" s="249"/>
    </row>
    <row r="35" spans="1:11" s="105" customFormat="1" x14ac:dyDescent="0.2">
      <c r="B35" s="99"/>
      <c r="C35" s="99"/>
      <c r="D35" s="99">
        <v>13</v>
      </c>
      <c r="E35" s="213">
        <f t="shared" si="1"/>
        <v>2005</v>
      </c>
      <c r="F35" s="324">
        <v>2.4299999999999999E-2</v>
      </c>
      <c r="G35" s="99"/>
      <c r="H35" s="341"/>
      <c r="I35" s="99"/>
      <c r="J35" s="99"/>
      <c r="K35" s="249"/>
    </row>
    <row r="36" spans="1:11" s="105" customFormat="1" x14ac:dyDescent="0.2">
      <c r="B36" s="99"/>
      <c r="C36" s="99"/>
      <c r="D36" s="99">
        <v>14</v>
      </c>
      <c r="E36" s="213">
        <v>2004</v>
      </c>
      <c r="F36" s="324">
        <v>4.3400000000000001E-2</v>
      </c>
      <c r="G36" s="99"/>
      <c r="H36" s="341"/>
      <c r="I36" s="99"/>
      <c r="J36" s="99"/>
      <c r="K36" s="249"/>
    </row>
    <row r="37" spans="1:11" s="105" customFormat="1" x14ac:dyDescent="0.2">
      <c r="B37" s="99"/>
      <c r="C37" s="99"/>
      <c r="D37" s="99">
        <v>15</v>
      </c>
      <c r="E37" s="213">
        <v>2003</v>
      </c>
      <c r="F37" s="324">
        <v>4.1000000000000002E-2</v>
      </c>
      <c r="G37" s="99"/>
      <c r="H37" s="341"/>
      <c r="I37" s="99"/>
      <c r="J37" s="99"/>
      <c r="K37" s="249"/>
    </row>
    <row r="38" spans="1:11" s="105" customFormat="1" x14ac:dyDescent="0.2">
      <c r="B38" s="99"/>
      <c r="C38" s="99"/>
      <c r="D38" s="99">
        <v>16</v>
      </c>
      <c r="E38" s="213">
        <v>2002</v>
      </c>
      <c r="F38" s="324">
        <v>0.1026</v>
      </c>
      <c r="G38" s="99"/>
      <c r="H38" s="341"/>
      <c r="I38" s="99"/>
      <c r="J38" s="99"/>
      <c r="K38" s="249"/>
    </row>
    <row r="39" spans="1:11" s="105" customFormat="1" x14ac:dyDescent="0.2">
      <c r="B39" s="99"/>
      <c r="C39" s="99"/>
      <c r="D39" s="99">
        <v>17</v>
      </c>
      <c r="E39" s="213">
        <v>2001</v>
      </c>
      <c r="F39" s="324">
        <v>8.4400000000000003E-2</v>
      </c>
      <c r="G39" s="99"/>
      <c r="H39" s="341"/>
      <c r="I39" s="99"/>
      <c r="J39" s="99"/>
      <c r="K39" s="249"/>
    </row>
    <row r="40" spans="1:11" s="105" customFormat="1" x14ac:dyDescent="0.2">
      <c r="B40" s="99"/>
      <c r="C40" s="99"/>
      <c r="D40" s="99">
        <v>18</v>
      </c>
      <c r="E40" s="213">
        <v>2000</v>
      </c>
      <c r="F40" s="324">
        <v>0.1163</v>
      </c>
      <c r="G40" s="99"/>
      <c r="H40" s="341"/>
      <c r="I40" s="99"/>
      <c r="J40" s="99"/>
      <c r="K40" s="249"/>
    </row>
    <row r="41" spans="1:11" s="105" customFormat="1" x14ac:dyDescent="0.2">
      <c r="B41" s="99"/>
      <c r="C41" s="99"/>
      <c r="D41" s="99">
        <v>19</v>
      </c>
      <c r="E41" s="213">
        <v>1999</v>
      </c>
      <c r="F41" s="324">
        <v>-8.2000000000000007E-3</v>
      </c>
      <c r="G41" s="99"/>
      <c r="H41" s="341"/>
      <c r="I41" s="99"/>
      <c r="J41" s="99"/>
      <c r="K41" s="249"/>
    </row>
    <row r="42" spans="1:11" s="105" customFormat="1" x14ac:dyDescent="0.2">
      <c r="B42" s="99"/>
      <c r="C42" s="99"/>
      <c r="D42" s="99">
        <v>20</v>
      </c>
      <c r="E42" s="213">
        <v>1998</v>
      </c>
      <c r="F42" s="324">
        <v>8.6900000000000005E-2</v>
      </c>
      <c r="G42" s="99"/>
      <c r="H42" s="341"/>
      <c r="I42" s="99"/>
      <c r="J42" s="99"/>
      <c r="K42" s="249"/>
    </row>
    <row r="43" spans="1:11" s="105" customFormat="1" x14ac:dyDescent="0.2">
      <c r="B43" s="99"/>
      <c r="C43" s="99"/>
      <c r="D43" s="99">
        <v>21</v>
      </c>
      <c r="E43" s="213">
        <v>1997</v>
      </c>
      <c r="F43" s="324">
        <v>9.6500000000000002E-2</v>
      </c>
      <c r="G43" s="99"/>
      <c r="H43" s="341"/>
      <c r="I43" s="99"/>
      <c r="J43" s="99"/>
      <c r="K43" s="249"/>
    </row>
    <row r="44" spans="1:11" ht="15.75" x14ac:dyDescent="0.25">
      <c r="A44" s="84"/>
      <c r="B44" s="87"/>
      <c r="C44" s="87"/>
      <c r="D44" s="99">
        <v>22</v>
      </c>
      <c r="E44" s="213">
        <v>1996</v>
      </c>
      <c r="F44" s="324">
        <v>3.6299999999999999E-2</v>
      </c>
      <c r="G44" s="87"/>
      <c r="H44" s="341"/>
      <c r="I44" s="87"/>
      <c r="J44" s="87"/>
    </row>
    <row r="45" spans="1:11" ht="15.75" x14ac:dyDescent="0.25">
      <c r="B45" s="2"/>
      <c r="C45" s="2"/>
      <c r="D45" s="99">
        <v>23</v>
      </c>
      <c r="E45" s="213">
        <v>1995</v>
      </c>
      <c r="F45" s="325">
        <v>0.1847</v>
      </c>
      <c r="G45" s="87"/>
      <c r="H45" s="341"/>
      <c r="I45" s="2"/>
      <c r="J45" s="2"/>
    </row>
    <row r="46" spans="1:11" ht="15.75" x14ac:dyDescent="0.25">
      <c r="B46" s="2"/>
      <c r="C46" s="2"/>
      <c r="D46" s="99">
        <v>24</v>
      </c>
      <c r="E46" s="213">
        <v>1994</v>
      </c>
      <c r="F46" s="325">
        <v>-2.92E-2</v>
      </c>
      <c r="G46" s="87"/>
      <c r="H46" s="341"/>
      <c r="I46" s="2"/>
      <c r="J46" s="2"/>
    </row>
    <row r="47" spans="1:11" ht="15.75" x14ac:dyDescent="0.25">
      <c r="B47" s="2"/>
      <c r="C47" s="2"/>
      <c r="D47" s="99">
        <v>25</v>
      </c>
      <c r="E47" s="213">
        <v>1993</v>
      </c>
      <c r="F47" s="325">
        <v>9.7500000000000003E-2</v>
      </c>
      <c r="G47" s="87"/>
      <c r="H47" s="325"/>
      <c r="I47" s="2"/>
      <c r="J47" s="2"/>
    </row>
    <row r="48" spans="1:11" ht="15.75" x14ac:dyDescent="0.25">
      <c r="B48" s="2"/>
      <c r="C48" s="2"/>
      <c r="D48" s="99">
        <v>26</v>
      </c>
      <c r="E48" s="213">
        <v>1992</v>
      </c>
      <c r="F48" s="325">
        <v>7.3999999999999996E-2</v>
      </c>
      <c r="G48" s="87"/>
      <c r="H48" s="325"/>
      <c r="I48" s="2"/>
      <c r="J48" s="2"/>
    </row>
    <row r="49" spans="1:10" ht="16.5" thickBot="1" x14ac:dyDescent="0.3">
      <c r="B49" s="2"/>
      <c r="C49" s="2"/>
      <c r="D49" s="99">
        <v>27</v>
      </c>
      <c r="E49" s="213">
        <v>1991</v>
      </c>
      <c r="F49" s="325">
        <v>0.16</v>
      </c>
      <c r="G49" s="87"/>
      <c r="H49" s="325"/>
      <c r="I49" s="2"/>
      <c r="J49" s="2"/>
    </row>
    <row r="50" spans="1:10" ht="16.5" thickTop="1" x14ac:dyDescent="0.25">
      <c r="B50" s="2"/>
      <c r="C50" s="2"/>
      <c r="D50" s="99"/>
      <c r="E50" s="295" t="s">
        <v>864</v>
      </c>
      <c r="F50" s="342">
        <f t="array" ref="F50">GEOMEAN(1+F23:F49)-1</f>
        <v>5.922413935813875E-2</v>
      </c>
      <c r="G50" s="343" t="s">
        <v>576</v>
      </c>
      <c r="H50" s="2"/>
      <c r="I50" s="2"/>
      <c r="J50" s="2"/>
    </row>
    <row r="51" spans="1:10" x14ac:dyDescent="0.25">
      <c r="B51" s="2"/>
      <c r="C51" s="2"/>
      <c r="D51" s="344"/>
      <c r="E51" s="2"/>
      <c r="F51" s="2"/>
      <c r="G51" s="2"/>
      <c r="H51" s="2"/>
      <c r="I51" s="2"/>
      <c r="J51" s="2"/>
    </row>
    <row r="52" spans="1:10" ht="15.75" x14ac:dyDescent="0.25">
      <c r="A52" s="13" t="s">
        <v>435</v>
      </c>
      <c r="B52" s="344"/>
      <c r="C52" s="295"/>
      <c r="D52" s="345"/>
      <c r="E52" s="87"/>
      <c r="F52" s="344"/>
      <c r="G52" s="295"/>
      <c r="H52" s="321"/>
      <c r="I52" s="87"/>
      <c r="J52" s="87"/>
    </row>
    <row r="53" spans="1:10" ht="15.75" x14ac:dyDescent="0.25">
      <c r="A53" s="84"/>
      <c r="B53" s="11" t="s">
        <v>860</v>
      </c>
      <c r="C53" s="87"/>
      <c r="D53" s="87"/>
      <c r="E53" s="87"/>
      <c r="F53" s="87"/>
      <c r="G53" s="87"/>
      <c r="H53" s="87"/>
      <c r="I53" s="87"/>
      <c r="J53" s="87"/>
    </row>
    <row r="54" spans="1:10" ht="370.5" customHeight="1" x14ac:dyDescent="0.25">
      <c r="A54" s="84"/>
      <c r="B54" s="457" t="s">
        <v>861</v>
      </c>
      <c r="C54" s="457"/>
      <c r="D54" s="457"/>
      <c r="E54" s="457"/>
      <c r="F54" s="457"/>
      <c r="G54" s="457"/>
      <c r="H54" s="457"/>
      <c r="I54" s="457"/>
      <c r="J54" s="457"/>
    </row>
  </sheetData>
  <mergeCells count="2">
    <mergeCell ref="B2:J2"/>
    <mergeCell ref="B54:J54"/>
  </mergeCells>
  <printOptions horizontalCentered="1"/>
  <pageMargins left="0.5" right="0.5" top="0.7" bottom="0.7" header="0.5" footer="0.5"/>
  <pageSetup scale="9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roposal Documents ES-02" ma:contentTypeID="0x010100F67935030963E344B2D6443E349B383100E85796468D2B3A4783E2B15F77D13D6A5B01004DED889122EEDF489A58BB5728247602" ma:contentTypeVersion="40" ma:contentTypeDescription="" ma:contentTypeScope="" ma:versionID="4d4c633f24c329db6470fb851f870bd4">
  <xsd:schema xmlns:xsd="http://www.w3.org/2001/XMLSchema" xmlns:xs="http://www.w3.org/2001/XMLSchema" xmlns:p="http://schemas.microsoft.com/office/2006/metadata/properties" xmlns:ns2="3b3663a6-f29f-4d3a-8b65-d75a6b5d9c03" xmlns:ns3="2d58f655-348c-4ace-86c8-2d23edb3e7f2" targetNamespace="http://schemas.microsoft.com/office/2006/metadata/properties" ma:root="true" ma:fieldsID="1ed62d524914cdda4329e115d9292a97" ns2:_="" ns3:_="">
    <xsd:import namespace="3b3663a6-f29f-4d3a-8b65-d75a6b5d9c03"/>
    <xsd:import namespace="2d58f655-348c-4ace-86c8-2d23edb3e7f2"/>
    <xsd:element name="properties">
      <xsd:complexType>
        <xsd:sequence>
          <xsd:element name="documentManagement">
            <xsd:complexType>
              <xsd:all>
                <xsd:element ref="ns2:District" minOccurs="0"/>
                <xsd:element ref="ns2:ProfitCenter" minOccurs="0"/>
                <xsd:element ref="ns2:ProjectCompletion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663a6-f29f-4d3a-8b65-d75a6b5d9c03" elementFormDefault="qualified">
    <xsd:import namespace="http://schemas.microsoft.com/office/2006/documentManagement/types"/>
    <xsd:import namespace="http://schemas.microsoft.com/office/infopath/2007/PartnerControls"/>
    <xsd:element name="District" ma:index="8" nillable="true" ma:displayName="District" ma:format="Dropdown" ma:indexed="true" ma:internalName="District">
      <xsd:simpleType>
        <xsd:restriction base="dms:Choice">
          <xsd:enumeration value="Aero Automatic/Jet Pipe"/>
          <xsd:enumeration value="Central"/>
          <xsd:enumeration value="Cherne Contracting"/>
          <xsd:enumeration value="Continental Fire Alarm"/>
          <xsd:enumeration value="Crane"/>
          <xsd:enumeration value="Eastern"/>
          <xsd:enumeration value="Eastern Canada"/>
          <xsd:enumeration value="Federal"/>
          <xsd:enumeration value="Ganotec"/>
          <xsd:enumeration value="Ganotec West"/>
          <xsd:enumeration value="Ibberson District"/>
          <xsd:enumeration value="KECo"/>
          <xsd:enumeration value="Kiewit Australia"/>
          <xsd:enumeration value="Kiewit Bridge and Marine"/>
          <xsd:enumeration value="Kiewit Building Group"/>
          <xsd:enumeration value="Kiewit Energy - Canada"/>
          <xsd:enumeration value="Kiewit Energy - US"/>
          <xsd:enumeration value="Kiewit Power Constructors"/>
          <xsd:enumeration value="Kiewit Engineering &amp; Design Co"/>
          <xsd:enumeration value="Kiewit Power Nuclear"/>
          <xsd:enumeration value="Kiewit Energy Group Shared Services"/>
          <xsd:enumeration value="Kiewit Infrastructure Engineers"/>
          <xsd:enumeration value="Kiewit Infrastructure Procurement"/>
          <xsd:enumeration value="Kiewit Infrastructure Proposal Group"/>
          <xsd:enumeration value="Kiewit Offshore Services"/>
          <xsd:enumeration value="Kiewit Operations General Construction"/>
          <xsd:enumeration value="MEC Industrial"/>
          <xsd:enumeration value="MEC Transportation"/>
          <xsd:enumeration value="Midwest Aviation"/>
          <xsd:enumeration value="Mining"/>
          <xsd:enumeration value="Northern California"/>
          <xsd:enumeration value="Northwest"/>
          <xsd:enumeration value="South Central"/>
          <xsd:enumeration value="Southeast"/>
          <xsd:enumeration value="Southern California"/>
          <xsd:enumeration value="Southwest"/>
          <xsd:enumeration value="Ganotec West"/>
          <xsd:enumeration value="TIC - Corporate"/>
          <xsd:enumeration value="TIC - Marine &amp; Heavy Civil"/>
          <xsd:enumeration value="TIC - Southern"/>
          <xsd:enumeration value="TIC - Southwest"/>
          <xsd:enumeration value="TIC - Western"/>
          <xsd:enumeration value="TIC - Wyoming"/>
          <xsd:enumeration value="Underground"/>
          <xsd:enumeration value="Western Canada"/>
          <xsd:enumeration value="Western Summit"/>
          <xsd:enumeration value="Accounting"/>
          <xsd:enumeration value="Building and Administration"/>
          <xsd:enumeration value="Corporate Communication"/>
          <xsd:enumeration value="Corporate Tax"/>
          <xsd:enumeration value="Environmental"/>
          <xsd:enumeration value="Ethics and Compliance"/>
          <xsd:enumeration value="Executive Management"/>
          <xsd:enumeration value="HO-Business Management Group"/>
          <xsd:enumeration value="Home Office Equipment"/>
          <xsd:enumeration value="Human Resources"/>
          <xsd:enumeration value="Information Management"/>
          <xsd:enumeration value="Internal Audit"/>
          <xsd:enumeration value="KieCore"/>
          <xsd:enumeration value="KieCore Continuous Improvement"/>
          <xsd:enumeration value="Kiewit Business Services"/>
          <xsd:enumeration value="Kiewit University"/>
          <xsd:enumeration value="Leadership Development"/>
          <xsd:enumeration value="Legal"/>
          <xsd:enumeration value="P3"/>
          <xsd:enumeration value="Procurement"/>
          <xsd:enumeration value="Purchasing &amp; Sales"/>
          <xsd:enumeration value="Quality"/>
          <xsd:enumeration value="Real Estate"/>
          <xsd:enumeration value="Risk Management"/>
          <xsd:enumeration value="Safety"/>
          <xsd:enumeration value="Stock Registrar"/>
          <xsd:enumeration value="Strategy and Development"/>
          <xsd:enumeration value="Travel"/>
          <xsd:enumeration value="Treasury"/>
        </xsd:restriction>
      </xsd:simpleType>
    </xsd:element>
    <xsd:element name="ProfitCenter" ma:index="9" nillable="true" ma:displayName="ProfitCenter" ma:default="Business Development" ma:internalName="ProfitCenter">
      <xsd:simpleType>
        <xsd:restriction base="dms:Text">
          <xsd:maxLength value="255"/>
        </xsd:restriction>
      </xsd:simpleType>
    </xsd:element>
    <xsd:element name="ProjectCompletionDate" ma:index="10" nillable="true" ma:displayName="ProjectCompletionDate" ma:format="DateOnly" ma:internalName="ProjectComplet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d58f655-348c-4ace-86c8-2d23edb3e7f2"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2d58f655-348c-4ace-86c8-2d23edb3e7f2">KMGBUSDEV-30-18842</_dlc_DocId>
    <_dlc_DocIdUrl xmlns="2d58f655-348c-4ace-86c8-2d23edb3e7f2">
      <Url>https://portal.kiewit.com/sites/kmgbusdev/_layouts/15/DocIdRedir.aspx?ID=KMGBUSDEV-30-18842</Url>
      <Description>KMGBUSDEV-30-18842</Description>
    </_dlc_DocIdUrl>
    <ProfitCenter xmlns="3b3663a6-f29f-4d3a-8b65-d75a6b5d9c03">Business Development</ProfitCenter>
    <ProjectCompletionDate xmlns="3b3663a6-f29f-4d3a-8b65-d75a6b5d9c03" xsi:nil="true"/>
    <District xmlns="3b3663a6-f29f-4d3a-8b65-d75a6b5d9c0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f80ea469-1d81-4d10-a97e-7dfee9d60b6a" ContentTypeId="0x010100F67935030963E344B2D6443E349B383100E85796468D2B3A4783E2B15F77D13D6A5B01" PreviousValue="false"/>
</file>

<file path=customXml/itemProps1.xml><?xml version="1.0" encoding="utf-8"?>
<ds:datastoreItem xmlns:ds="http://schemas.openxmlformats.org/officeDocument/2006/customXml" ds:itemID="{18F7CC40-6D62-4749-82AC-30FEAE3528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663a6-f29f-4d3a-8b65-d75a6b5d9c03"/>
    <ds:schemaRef ds:uri="2d58f655-348c-4ace-86c8-2d23edb3e7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DA5CD8-9676-4B81-A47F-40FAB03EB80E}">
  <ds:schemaRefs>
    <ds:schemaRef ds:uri="http://purl.org/dc/terms/"/>
    <ds:schemaRef ds:uri="http://schemas.microsoft.com/office/2006/metadata/properties"/>
    <ds:schemaRef ds:uri="http://schemas.microsoft.com/office/2006/documentManagement/types"/>
    <ds:schemaRef ds:uri="2d58f655-348c-4ace-86c8-2d23edb3e7f2"/>
    <ds:schemaRef ds:uri="http://purl.org/dc/elements/1.1/"/>
    <ds:schemaRef ds:uri="http://schemas.microsoft.com/office/infopath/2007/PartnerControls"/>
    <ds:schemaRef ds:uri="http://schemas.openxmlformats.org/package/2006/metadata/core-properties"/>
    <ds:schemaRef ds:uri="3b3663a6-f29f-4d3a-8b65-d75a6b5d9c03"/>
    <ds:schemaRef ds:uri="http://www.w3.org/XML/1998/namespace"/>
    <ds:schemaRef ds:uri="http://purl.org/dc/dcmitype/"/>
  </ds:schemaRefs>
</ds:datastoreItem>
</file>

<file path=customXml/itemProps3.xml><?xml version="1.0" encoding="utf-8"?>
<ds:datastoreItem xmlns:ds="http://schemas.openxmlformats.org/officeDocument/2006/customXml" ds:itemID="{6DC55A2E-BE16-4F78-9361-A21DFB357F25}">
  <ds:schemaRefs>
    <ds:schemaRef ds:uri="http://schemas.microsoft.com/sharepoint/v3/contenttype/forms"/>
  </ds:schemaRefs>
</ds:datastoreItem>
</file>

<file path=customXml/itemProps4.xml><?xml version="1.0" encoding="utf-8"?>
<ds:datastoreItem xmlns:ds="http://schemas.openxmlformats.org/officeDocument/2006/customXml" ds:itemID="{14086A83-7507-4A56-8812-E7227421028E}">
  <ds:schemaRefs>
    <ds:schemaRef ds:uri="http://schemas.microsoft.com/sharepoint/events"/>
  </ds:schemaRefs>
</ds:datastoreItem>
</file>

<file path=customXml/itemProps5.xml><?xml version="1.0" encoding="utf-8"?>
<ds:datastoreItem xmlns:ds="http://schemas.openxmlformats.org/officeDocument/2006/customXml" ds:itemID="{23FD0F41-6C83-4C82-BA94-33A362F8F7A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31</vt:i4>
      </vt:variant>
    </vt:vector>
  </HeadingPairs>
  <TitlesOfParts>
    <vt:vector size="60" baseType="lpstr">
      <vt:lpstr>General</vt:lpstr>
      <vt:lpstr>1...Describe</vt:lpstr>
      <vt:lpstr>1a...Approach 2001</vt:lpstr>
      <vt:lpstr>1b...Approach 2005</vt:lpstr>
      <vt:lpstr>1c...Approach 2007</vt:lpstr>
      <vt:lpstr>1d...Approach 2010</vt:lpstr>
      <vt:lpstr>1e...Approach 2011 Semi-Update</vt:lpstr>
      <vt:lpstr>1f...Approach 2018</vt:lpstr>
      <vt:lpstr>2...Demo</vt:lpstr>
      <vt:lpstr>3...Material</vt:lpstr>
      <vt:lpstr>4...Earthwrk</vt:lpstr>
      <vt:lpstr>5...Dozer</vt:lpstr>
      <vt:lpstr>6...Grading</vt:lpstr>
      <vt:lpstr>7...Ripper</vt:lpstr>
      <vt:lpstr>8...Loader</vt:lpstr>
      <vt:lpstr>9...Trucks</vt:lpstr>
      <vt:lpstr>10...Backhoe</vt:lpstr>
      <vt:lpstr>11...Scraper</vt:lpstr>
      <vt:lpstr>12...M'grader</vt:lpstr>
      <vt:lpstr>13...EarthSum</vt:lpstr>
      <vt:lpstr>14...Reveg</vt:lpstr>
      <vt:lpstr>15...Seepage Capture</vt:lpstr>
      <vt:lpstr>16...Water Treatment</vt:lpstr>
      <vt:lpstr>17...Other</vt:lpstr>
      <vt:lpstr>18...O&amp;M</vt:lpstr>
      <vt:lpstr>19...CostSum</vt:lpstr>
      <vt:lpstr>20...NPV - CMI_2014</vt:lpstr>
      <vt:lpstr>21...Inflation Rate</vt:lpstr>
      <vt:lpstr>22...Discount Rate</vt:lpstr>
      <vt:lpstr>'15...Seepage Capture'!Print_Area</vt:lpstr>
      <vt:lpstr>'16...Water Treatment'!Print_Area</vt:lpstr>
      <vt:lpstr>'17...Other'!Print_Area</vt:lpstr>
      <vt:lpstr>'18...O&amp;M'!Print_Area</vt:lpstr>
      <vt:lpstr>'19...CostSum'!Print_Area</vt:lpstr>
      <vt:lpstr>'1a...Approach 2001'!Print_Area</vt:lpstr>
      <vt:lpstr>'1b...Approach 2005'!Print_Area</vt:lpstr>
      <vt:lpstr>'1c...Approach 2007'!Print_Area</vt:lpstr>
      <vt:lpstr>'1d...Approach 2010'!Print_Area</vt:lpstr>
      <vt:lpstr>'1e...Approach 2011 Semi-Update'!Print_Area</vt:lpstr>
      <vt:lpstr>'1f...Approach 2018'!Print_Area</vt:lpstr>
      <vt:lpstr>'2...Demo'!Print_Area</vt:lpstr>
      <vt:lpstr>'20...NPV - CMI_2014'!Print_Area</vt:lpstr>
      <vt:lpstr>'22...Discount Rate'!Print_Area</vt:lpstr>
      <vt:lpstr>'4...Earthwrk'!Print_Area</vt:lpstr>
      <vt:lpstr>'6...Grading'!Print_Area</vt:lpstr>
      <vt:lpstr>'1...Describe'!Print_Titles</vt:lpstr>
      <vt:lpstr>'13...EarthSum'!Print_Titles</vt:lpstr>
      <vt:lpstr>'17...Other'!Print_Titles</vt:lpstr>
      <vt:lpstr>'18...O&amp;M'!Print_Titles</vt:lpstr>
      <vt:lpstr>'1a...Approach 2001'!Print_Titles</vt:lpstr>
      <vt:lpstr>'1b...Approach 2005'!Print_Titles</vt:lpstr>
      <vt:lpstr>'1c...Approach 2007'!Print_Titles</vt:lpstr>
      <vt:lpstr>'1d...Approach 2010'!Print_Titles</vt:lpstr>
      <vt:lpstr>'1e...Approach 2011 Semi-Update'!Print_Titles</vt:lpstr>
      <vt:lpstr>'1f...Approach 2018'!Print_Titles</vt:lpstr>
      <vt:lpstr>'2...Demo'!Print_Titles</vt:lpstr>
      <vt:lpstr>'20...NPV - CMI_2014'!Print_Titles</vt:lpstr>
      <vt:lpstr>'3...Material'!Print_Titles</vt:lpstr>
      <vt:lpstr>'4...Earthwrk'!Print_Titles</vt:lpstr>
      <vt:lpstr>'9...Trucks'!Print_Titles</vt:lpstr>
    </vt:vector>
  </TitlesOfParts>
  <Company>URS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Bernier</dc:creator>
  <cp:lastModifiedBy>Administrator</cp:lastModifiedBy>
  <cp:lastPrinted>2018-03-02T22:04:41Z</cp:lastPrinted>
  <dcterms:created xsi:type="dcterms:W3CDTF">2011-09-21T20:29:11Z</dcterms:created>
  <dcterms:modified xsi:type="dcterms:W3CDTF">2018-12-12T20:47:53Z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0x010100F67935030963E344B2D6443E349B383100E85796468D2B3A4783E2B15F77D13D6A5B01004DED889122EEDF489A58BB5728247602</vt:lpwstr>
  </property>
  <property fmtid="{D5CDD505-2E9C-101B-9397-08002B2CF9AE}" pid="3" name="_dlc_DocIdItemGuid">
    <vt:lpwstr>011d6bbc-ca45-49cb-ad07-0a64d6c08810</vt:lpwstr>
  </property>
</Properties>
</file>